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8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GA--SYSTEM\Desktop\JOURNAL\ORG\"/>
    </mc:Choice>
  </mc:AlternateContent>
  <workbookProtection workbookAlgorithmName="SHA-512" workbookHashValue="SFTw0J51W9QKeEp1An2NEb/Cv+d9SjpXqhT22mW4wpiUgEBQjidIVSv2SheZEmtK0y8Jes0B3+KuxrhCsdtQQA==" workbookSaltValue="U8D1pyte5NzkUbNgLPd5Sw==" workbookSpinCount="100000" lockStructure="1"/>
  <bookViews>
    <workbookView xWindow="0" yWindow="0" windowWidth="20490" windowHeight="7650" tabRatio="926" activeTab="4"/>
  </bookViews>
  <sheets>
    <sheet name="Personal" sheetId="18" r:id="rId1"/>
    <sheet name="JOURNAL" sheetId="4" r:id="rId2"/>
    <sheet name="Doubting Setups" sheetId="20" r:id="rId3"/>
    <sheet name="Setup Analysis" sheetId="6" r:id="rId4"/>
    <sheet name="Close Reason Analysis" sheetId="12" r:id="rId5"/>
    <sheet name="Positon Analysis" sheetId="14" state="hidden" r:id="rId6"/>
    <sheet name="Day Analysis" sheetId="11" state="hidden" r:id="rId7"/>
    <sheet name="Level Analysis" sheetId="15" state="hidden" r:id="rId8"/>
    <sheet name="Correction Analysis" sheetId="16" state="hidden" r:id="rId9"/>
    <sheet name="Currency Pair Analysis" sheetId="21" state="hidden" r:id="rId10"/>
    <sheet name="Data" sheetId="2" state="hidden" r:id="rId11"/>
    <sheet name="Period Analysis" sheetId="17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5" i="17" l="1"/>
  <c r="AX24" i="17"/>
  <c r="AX23" i="17"/>
  <c r="AX22" i="17"/>
  <c r="AX21" i="17"/>
  <c r="AX20" i="17"/>
  <c r="AX19" i="17"/>
  <c r="AU25" i="17"/>
  <c r="AU24" i="17"/>
  <c r="AU23" i="17"/>
  <c r="AU22" i="17"/>
  <c r="AU21" i="17"/>
  <c r="AU20" i="17"/>
  <c r="AU19" i="17"/>
  <c r="AP29" i="17"/>
  <c r="AP28" i="17"/>
  <c r="AP27" i="17"/>
  <c r="AP26" i="17"/>
  <c r="AP25" i="17"/>
  <c r="AP24" i="17"/>
  <c r="AP23" i="17"/>
  <c r="AP22" i="17"/>
  <c r="AP21" i="17"/>
  <c r="AP20" i="17"/>
  <c r="AP19" i="17"/>
  <c r="AP18" i="17"/>
  <c r="AO29" i="17"/>
  <c r="AO28" i="17"/>
  <c r="AO27" i="17"/>
  <c r="AO26" i="17"/>
  <c r="AO25" i="17"/>
  <c r="AO24" i="17"/>
  <c r="AO23" i="17"/>
  <c r="AO22" i="17"/>
  <c r="AO21" i="17"/>
  <c r="AO20" i="17"/>
  <c r="AO19" i="17"/>
  <c r="AO18" i="17"/>
  <c r="AN29" i="17"/>
  <c r="AN28" i="17"/>
  <c r="AN27" i="17"/>
  <c r="AN26" i="17"/>
  <c r="AN25" i="17"/>
  <c r="AN24" i="17"/>
  <c r="AN23" i="17"/>
  <c r="AN22" i="17"/>
  <c r="AN21" i="17"/>
  <c r="AN20" i="17"/>
  <c r="AN19" i="17"/>
  <c r="AN18" i="17"/>
  <c r="AM29" i="17"/>
  <c r="AM28" i="17"/>
  <c r="AM27" i="17"/>
  <c r="AM26" i="17"/>
  <c r="AM25" i="17"/>
  <c r="AM24" i="17"/>
  <c r="AM23" i="17"/>
  <c r="AM22" i="17"/>
  <c r="AM21" i="17"/>
  <c r="AM20" i="17"/>
  <c r="AM19" i="17"/>
  <c r="AM18" i="17"/>
  <c r="AL29" i="17"/>
  <c r="AL28" i="17"/>
  <c r="AL27" i="17"/>
  <c r="AL26" i="17"/>
  <c r="AL25" i="17"/>
  <c r="AL24" i="17"/>
  <c r="AL23" i="17"/>
  <c r="AL22" i="17"/>
  <c r="AL21" i="17"/>
  <c r="AL20" i="17"/>
  <c r="AL19" i="17"/>
  <c r="AL18" i="17"/>
  <c r="AK29" i="17"/>
  <c r="AK28" i="17"/>
  <c r="AK27" i="17"/>
  <c r="AK26" i="17"/>
  <c r="AK25" i="17"/>
  <c r="AK24" i="17"/>
  <c r="AK23" i="17"/>
  <c r="AK22" i="17"/>
  <c r="AK21" i="17"/>
  <c r="AK20" i="17"/>
  <c r="AK19" i="17"/>
  <c r="AK18" i="17"/>
  <c r="AJ29" i="17"/>
  <c r="AJ28" i="17"/>
  <c r="AJ27" i="17"/>
  <c r="AJ26" i="17"/>
  <c r="AJ25" i="17"/>
  <c r="AJ24" i="17"/>
  <c r="AJ23" i="17"/>
  <c r="AJ22" i="17"/>
  <c r="AJ21" i="17"/>
  <c r="AJ20" i="17"/>
  <c r="AJ19" i="17"/>
  <c r="AJ18" i="17"/>
  <c r="AI29" i="17"/>
  <c r="AI28" i="17"/>
  <c r="AI27" i="17"/>
  <c r="AI26" i="17"/>
  <c r="AI25" i="17"/>
  <c r="AI24" i="17"/>
  <c r="AI23" i="17"/>
  <c r="AI22" i="17"/>
  <c r="AI21" i="17"/>
  <c r="AI20" i="17"/>
  <c r="AI19" i="17"/>
  <c r="AI18" i="17"/>
  <c r="AH29" i="17"/>
  <c r="AQ29" i="17" s="1"/>
  <c r="AH28" i="17"/>
  <c r="AQ28" i="17" s="1"/>
  <c r="AH27" i="17"/>
  <c r="AQ27" i="17" s="1"/>
  <c r="AH26" i="17"/>
  <c r="AQ26" i="17" s="1"/>
  <c r="AH25" i="17"/>
  <c r="AQ25" i="17" s="1"/>
  <c r="AH24" i="17"/>
  <c r="AQ24" i="17" s="1"/>
  <c r="AH23" i="17"/>
  <c r="AQ23" i="17" s="1"/>
  <c r="AH22" i="17"/>
  <c r="AQ22" i="17" s="1"/>
  <c r="AH21" i="17"/>
  <c r="AQ21" i="17" s="1"/>
  <c r="AH20" i="17"/>
  <c r="AQ20" i="17" s="1"/>
  <c r="AH19" i="17"/>
  <c r="AQ19" i="17" s="1"/>
  <c r="AH18" i="17"/>
  <c r="AQ18" i="17" s="1"/>
  <c r="AQ30" i="17" s="1"/>
  <c r="BE8" i="17" s="1"/>
  <c r="AP14" i="17"/>
  <c r="AP13" i="17"/>
  <c r="AP12" i="17"/>
  <c r="AP11" i="17"/>
  <c r="AP10" i="17"/>
  <c r="AP9" i="17"/>
  <c r="AP8" i="17"/>
  <c r="AP7" i="17"/>
  <c r="AP6" i="17"/>
  <c r="AP5" i="17"/>
  <c r="AP4" i="17"/>
  <c r="AP3" i="17"/>
  <c r="AO14" i="17"/>
  <c r="AO13" i="17"/>
  <c r="AO12" i="17"/>
  <c r="AO11" i="17"/>
  <c r="AO10" i="17"/>
  <c r="AO9" i="17"/>
  <c r="AO8" i="17"/>
  <c r="AO7" i="17"/>
  <c r="AO6" i="17"/>
  <c r="AO5" i="17"/>
  <c r="AO4" i="17"/>
  <c r="AO3" i="17"/>
  <c r="AN14" i="17"/>
  <c r="AN13" i="17"/>
  <c r="AN12" i="17"/>
  <c r="AN11" i="17"/>
  <c r="AN10" i="17"/>
  <c r="AN9" i="17"/>
  <c r="AN8" i="17"/>
  <c r="AN7" i="17"/>
  <c r="AN6" i="17"/>
  <c r="AN5" i="17"/>
  <c r="AN4" i="17"/>
  <c r="AN3" i="17"/>
  <c r="AM14" i="17"/>
  <c r="AM13" i="17"/>
  <c r="AM12" i="17"/>
  <c r="AM11" i="17"/>
  <c r="AM10" i="17"/>
  <c r="AM9" i="17"/>
  <c r="AM8" i="17"/>
  <c r="AM7" i="17"/>
  <c r="AM6" i="17"/>
  <c r="AM5" i="17"/>
  <c r="AM4" i="17"/>
  <c r="AM3" i="17"/>
  <c r="AL14" i="17"/>
  <c r="AL13" i="17"/>
  <c r="AL12" i="17"/>
  <c r="AL11" i="17"/>
  <c r="AL10" i="17"/>
  <c r="AL9" i="17"/>
  <c r="AL8" i="17"/>
  <c r="AL7" i="17"/>
  <c r="AL6" i="17"/>
  <c r="AL5" i="17"/>
  <c r="AL4" i="17"/>
  <c r="AL3" i="17"/>
  <c r="AK14" i="17"/>
  <c r="AK13" i="17"/>
  <c r="AK12" i="17"/>
  <c r="AK11" i="17"/>
  <c r="AK10" i="17"/>
  <c r="AK9" i="17"/>
  <c r="AK8" i="17"/>
  <c r="AK7" i="17"/>
  <c r="AK6" i="17"/>
  <c r="AK5" i="17"/>
  <c r="AK4" i="17"/>
  <c r="AK3" i="17"/>
  <c r="AJ14" i="17"/>
  <c r="AJ13" i="17"/>
  <c r="AJ12" i="17"/>
  <c r="AJ11" i="17"/>
  <c r="AJ10" i="17"/>
  <c r="AJ9" i="17"/>
  <c r="AJ8" i="17"/>
  <c r="AJ7" i="17"/>
  <c r="AJ6" i="17"/>
  <c r="AJ5" i="17"/>
  <c r="AJ4" i="17"/>
  <c r="AJ3" i="17"/>
  <c r="AI14" i="17"/>
  <c r="AI13" i="17"/>
  <c r="AI12" i="17"/>
  <c r="AI11" i="17"/>
  <c r="AI10" i="17"/>
  <c r="AI9" i="17"/>
  <c r="AI8" i="17"/>
  <c r="AI7" i="17"/>
  <c r="AI6" i="17"/>
  <c r="AI5" i="17"/>
  <c r="AI4" i="17"/>
  <c r="AI3" i="17"/>
  <c r="AH14" i="17"/>
  <c r="AQ14" i="17" s="1"/>
  <c r="AH13" i="17"/>
  <c r="AQ13" i="17" s="1"/>
  <c r="AH12" i="17"/>
  <c r="AQ12" i="17" s="1"/>
  <c r="AH11" i="17"/>
  <c r="AQ11" i="17" s="1"/>
  <c r="AH10" i="17"/>
  <c r="AQ10" i="17" s="1"/>
  <c r="AH9" i="17"/>
  <c r="AQ9" i="17" s="1"/>
  <c r="AH8" i="17"/>
  <c r="AQ8" i="17" s="1"/>
  <c r="AH7" i="17"/>
  <c r="AQ7" i="17" s="1"/>
  <c r="AH6" i="17"/>
  <c r="AQ6" i="17" s="1"/>
  <c r="AH5" i="17"/>
  <c r="AQ5" i="17" s="1"/>
  <c r="AH4" i="17"/>
  <c r="AQ4" i="17" s="1"/>
  <c r="AH3" i="17"/>
  <c r="AQ3" i="17" s="1"/>
  <c r="AQ15" i="17" s="1"/>
  <c r="BC8" i="17" s="1"/>
  <c r="AS15" i="17" l="1"/>
  <c r="AI30" i="17"/>
  <c r="AW20" i="17" s="1"/>
  <c r="AK30" i="17"/>
  <c r="AW22" i="17" s="1"/>
  <c r="AL30" i="17"/>
  <c r="AW23" i="17" s="1"/>
  <c r="AN30" i="17"/>
  <c r="AW25" i="17" s="1"/>
  <c r="AO30" i="17"/>
  <c r="AP30" i="17"/>
  <c r="BE4" i="17" s="1"/>
  <c r="AS4" i="17"/>
  <c r="AS8" i="17"/>
  <c r="AS12" i="17"/>
  <c r="AU4" i="17"/>
  <c r="AU8" i="17"/>
  <c r="AU12" i="17"/>
  <c r="AX4" i="17"/>
  <c r="AX8" i="17"/>
  <c r="AX12" i="17"/>
  <c r="AZ4" i="17"/>
  <c r="AZ8" i="17"/>
  <c r="AZ12" i="17"/>
  <c r="AS5" i="17"/>
  <c r="AS9" i="17"/>
  <c r="AS13" i="17"/>
  <c r="AU5" i="17"/>
  <c r="AU9" i="17"/>
  <c r="AU13" i="17"/>
  <c r="AX5" i="17"/>
  <c r="AX9" i="17"/>
  <c r="AX13" i="17"/>
  <c r="AZ5" i="17"/>
  <c r="AZ9" i="17"/>
  <c r="AZ13" i="17"/>
  <c r="AS6" i="17"/>
  <c r="AS10" i="17"/>
  <c r="AS14" i="17"/>
  <c r="AU6" i="17"/>
  <c r="AU10" i="17"/>
  <c r="AU14" i="17"/>
  <c r="AX6" i="17"/>
  <c r="AX10" i="17"/>
  <c r="AX14" i="17"/>
  <c r="AZ6" i="17"/>
  <c r="AZ10" i="17"/>
  <c r="AZ14" i="17"/>
  <c r="AS7" i="17"/>
  <c r="AS11" i="17"/>
  <c r="AU7" i="17"/>
  <c r="AU11" i="17"/>
  <c r="AU15" i="17"/>
  <c r="AX7" i="17"/>
  <c r="AX11" i="17"/>
  <c r="AX15" i="17"/>
  <c r="AZ7" i="17"/>
  <c r="AZ11" i="17"/>
  <c r="AZ15" i="17"/>
  <c r="AO15" i="17"/>
  <c r="AP15" i="17"/>
  <c r="BC4" i="17" s="1"/>
  <c r="AH30" i="17"/>
  <c r="AW19" i="17" s="1"/>
  <c r="AM30" i="17"/>
  <c r="AW24" i="17" s="1"/>
  <c r="AJ30" i="17"/>
  <c r="AW21" i="17" s="1"/>
  <c r="AI15" i="17"/>
  <c r="AT20" i="17" s="1"/>
  <c r="AJ15" i="17"/>
  <c r="AT21" i="17" s="1"/>
  <c r="AL15" i="17"/>
  <c r="AT23" i="17" s="1"/>
  <c r="AM15" i="17"/>
  <c r="AT24" i="17" s="1"/>
  <c r="AK15" i="17"/>
  <c r="AT22" i="17" s="1"/>
  <c r="AH15" i="17"/>
  <c r="AT19" i="17" s="1"/>
  <c r="AN15" i="17"/>
  <c r="AT25" i="17" s="1"/>
  <c r="BT118" i="15"/>
  <c r="BT117" i="15"/>
  <c r="BT116" i="15"/>
  <c r="BT115" i="15"/>
  <c r="BT114" i="15"/>
  <c r="BT113" i="15"/>
  <c r="BT112" i="15"/>
  <c r="BQ118" i="15"/>
  <c r="BQ117" i="15"/>
  <c r="BQ116" i="15"/>
  <c r="BQ115" i="15"/>
  <c r="BQ114" i="15"/>
  <c r="BQ113" i="15"/>
  <c r="BQ112" i="15"/>
  <c r="BT108" i="15"/>
  <c r="BT107" i="15"/>
  <c r="BT106" i="15"/>
  <c r="BT105" i="15"/>
  <c r="BT104" i="15"/>
  <c r="BT103" i="15"/>
  <c r="BT102" i="15"/>
  <c r="BQ108" i="15"/>
  <c r="BQ107" i="15"/>
  <c r="BQ106" i="15"/>
  <c r="BQ105" i="15"/>
  <c r="BQ104" i="15"/>
  <c r="BQ103" i="15"/>
  <c r="BQ102" i="15"/>
  <c r="BT98" i="15"/>
  <c r="BT97" i="15"/>
  <c r="BT96" i="15"/>
  <c r="BT95" i="15"/>
  <c r="BT94" i="15"/>
  <c r="BT93" i="15"/>
  <c r="BT92" i="15"/>
  <c r="BQ98" i="15"/>
  <c r="BQ97" i="15"/>
  <c r="BQ96" i="15"/>
  <c r="BQ95" i="15"/>
  <c r="BQ94" i="15"/>
  <c r="BQ93" i="15"/>
  <c r="BQ92" i="15"/>
  <c r="BT88" i="15"/>
  <c r="BT87" i="15"/>
  <c r="BT86" i="15"/>
  <c r="BT85" i="15"/>
  <c r="BT84" i="15"/>
  <c r="BT83" i="15"/>
  <c r="BT82" i="15"/>
  <c r="BQ88" i="15"/>
  <c r="BQ87" i="15"/>
  <c r="BQ86" i="15"/>
  <c r="BQ85" i="15"/>
  <c r="BQ84" i="15"/>
  <c r="BQ83" i="15"/>
  <c r="BQ82" i="15"/>
  <c r="BT78" i="15"/>
  <c r="BT77" i="15"/>
  <c r="BT76" i="15"/>
  <c r="BT75" i="15"/>
  <c r="BT74" i="15"/>
  <c r="BT73" i="15"/>
  <c r="BT72" i="15"/>
  <c r="BQ78" i="15"/>
  <c r="BQ77" i="15"/>
  <c r="BQ76" i="15"/>
  <c r="BQ75" i="15"/>
  <c r="BQ74" i="15"/>
  <c r="BQ73" i="15"/>
  <c r="BQ72" i="15"/>
  <c r="BT68" i="15"/>
  <c r="BT67" i="15"/>
  <c r="BT66" i="15"/>
  <c r="BT65" i="15"/>
  <c r="BT64" i="15"/>
  <c r="BT63" i="15"/>
  <c r="BT62" i="15"/>
  <c r="BQ68" i="15"/>
  <c r="BQ67" i="15"/>
  <c r="BQ66" i="15"/>
  <c r="BQ65" i="15"/>
  <c r="BQ64" i="15"/>
  <c r="BQ63" i="15"/>
  <c r="BQ62" i="15"/>
  <c r="BT58" i="15"/>
  <c r="BT57" i="15"/>
  <c r="BT56" i="15"/>
  <c r="BT55" i="15"/>
  <c r="BT54" i="15"/>
  <c r="BT53" i="15"/>
  <c r="BT52" i="15"/>
  <c r="BQ58" i="15"/>
  <c r="BQ57" i="15"/>
  <c r="BQ56" i="15"/>
  <c r="BQ55" i="15"/>
  <c r="BQ54" i="15"/>
  <c r="BQ53" i="15"/>
  <c r="BQ52" i="15"/>
  <c r="BT48" i="15"/>
  <c r="BT47" i="15"/>
  <c r="BT46" i="15"/>
  <c r="BT45" i="15"/>
  <c r="BT44" i="15"/>
  <c r="BT43" i="15"/>
  <c r="BT42" i="15"/>
  <c r="BQ48" i="15"/>
  <c r="BQ47" i="15"/>
  <c r="BQ46" i="15"/>
  <c r="BQ45" i="15"/>
  <c r="BQ44" i="15"/>
  <c r="BQ43" i="15"/>
  <c r="BQ42" i="15"/>
  <c r="BT38" i="15"/>
  <c r="BT37" i="15"/>
  <c r="BT36" i="15"/>
  <c r="BT35" i="15"/>
  <c r="BT34" i="15"/>
  <c r="BT33" i="15"/>
  <c r="BT32" i="15"/>
  <c r="BQ38" i="15"/>
  <c r="BQ37" i="15"/>
  <c r="BQ36" i="15"/>
  <c r="BQ35" i="15"/>
  <c r="BQ34" i="15"/>
  <c r="BQ23" i="15"/>
  <c r="BQ33" i="15"/>
  <c r="BQ32" i="15"/>
  <c r="BT28" i="15"/>
  <c r="BT27" i="15"/>
  <c r="BT26" i="15"/>
  <c r="BT25" i="15"/>
  <c r="BT24" i="15"/>
  <c r="BT23" i="15"/>
  <c r="BT22" i="15"/>
  <c r="BQ28" i="15"/>
  <c r="BQ27" i="15"/>
  <c r="BQ26" i="15"/>
  <c r="BQ25" i="15"/>
  <c r="BQ24" i="15"/>
  <c r="BQ22" i="15"/>
  <c r="BT18" i="15"/>
  <c r="BT17" i="15"/>
  <c r="BT16" i="15"/>
  <c r="BT15" i="15"/>
  <c r="BT14" i="15"/>
  <c r="BT13" i="15"/>
  <c r="BT12" i="15"/>
  <c r="BQ18" i="15"/>
  <c r="BQ17" i="15"/>
  <c r="BQ16" i="15"/>
  <c r="BQ15" i="15"/>
  <c r="BQ14" i="15"/>
  <c r="BQ13" i="15"/>
  <c r="BQ12" i="15"/>
  <c r="BT8" i="15"/>
  <c r="BT7" i="15"/>
  <c r="BT6" i="15"/>
  <c r="BT5" i="15"/>
  <c r="BT4" i="15"/>
  <c r="BT3" i="15"/>
  <c r="BQ8" i="15"/>
  <c r="BQ7" i="15"/>
  <c r="BQ6" i="15"/>
  <c r="BQ5" i="15"/>
  <c r="BQ4" i="15"/>
  <c r="BQ3" i="15"/>
  <c r="BQ2" i="15"/>
  <c r="BT2" i="15"/>
  <c r="K56" i="15"/>
  <c r="AB12" i="15" s="1"/>
  <c r="K55" i="15"/>
  <c r="K54" i="15"/>
  <c r="K53" i="15"/>
  <c r="K52" i="15"/>
  <c r="J49" i="15"/>
  <c r="K51" i="15"/>
  <c r="M55" i="15"/>
  <c r="AL12" i="15" s="1"/>
  <c r="M54" i="15"/>
  <c r="AK12" i="15" s="1"/>
  <c r="M53" i="15"/>
  <c r="AI12" i="15" s="1"/>
  <c r="M52" i="15"/>
  <c r="AG12" i="15" s="1"/>
  <c r="M51" i="15"/>
  <c r="AJ12" i="15" s="1"/>
  <c r="M50" i="15"/>
  <c r="AH12" i="15" s="1"/>
  <c r="M49" i="15"/>
  <c r="AF12" i="15" s="1"/>
  <c r="E56" i="15"/>
  <c r="AB11" i="15" s="1"/>
  <c r="E55" i="15"/>
  <c r="E54" i="15"/>
  <c r="E53" i="15"/>
  <c r="E52" i="15"/>
  <c r="E51" i="15"/>
  <c r="G55" i="15"/>
  <c r="AL11" i="15" s="1"/>
  <c r="G54" i="15"/>
  <c r="AK11" i="15" s="1"/>
  <c r="G53" i="15"/>
  <c r="AI11" i="15" s="1"/>
  <c r="G52" i="15"/>
  <c r="AG11" i="15" s="1"/>
  <c r="G51" i="15"/>
  <c r="AJ11" i="15" s="1"/>
  <c r="G50" i="15"/>
  <c r="AH11" i="15" s="1"/>
  <c r="G49" i="15"/>
  <c r="AF11" i="15" s="1"/>
  <c r="D49" i="15"/>
  <c r="BT89" i="15" l="1"/>
  <c r="BT59" i="15"/>
  <c r="BT39" i="15"/>
  <c r="BQ49" i="15"/>
  <c r="BQ50" i="15" s="1"/>
  <c r="BQ89" i="15"/>
  <c r="BQ90" i="15" s="1"/>
  <c r="BQ29" i="15"/>
  <c r="BT119" i="15"/>
  <c r="BT120" i="15" s="1"/>
  <c r="BQ119" i="15"/>
  <c r="BQ120" i="15" s="1"/>
  <c r="BT109" i="15"/>
  <c r="BT110" i="15" s="1"/>
  <c r="BQ109" i="15"/>
  <c r="BQ110" i="15" s="1"/>
  <c r="BT99" i="15"/>
  <c r="BT100" i="15" s="1"/>
  <c r="BQ99" i="15"/>
  <c r="BQ100" i="15" s="1"/>
  <c r="BT90" i="15"/>
  <c r="BT79" i="15"/>
  <c r="BT80" i="15" s="1"/>
  <c r="BQ79" i="15"/>
  <c r="BQ80" i="15" s="1"/>
  <c r="BT69" i="15"/>
  <c r="BT70" i="15" s="1"/>
  <c r="BQ69" i="15"/>
  <c r="BQ70" i="15" s="1"/>
  <c r="BT60" i="15"/>
  <c r="BQ59" i="15"/>
  <c r="BQ60" i="15" s="1"/>
  <c r="BT49" i="15"/>
  <c r="BT50" i="15" s="1"/>
  <c r="BT40" i="15"/>
  <c r="BQ39" i="15"/>
  <c r="BQ40" i="15" s="1"/>
  <c r="BT29" i="15"/>
  <c r="BT30" i="15" s="1"/>
  <c r="BQ30" i="15"/>
  <c r="BT19" i="15"/>
  <c r="BT20" i="15" s="1"/>
  <c r="BQ19" i="15"/>
  <c r="BQ20" i="15" s="1"/>
  <c r="BT9" i="15"/>
  <c r="BT10" i="15" s="1"/>
  <c r="BQ9" i="15"/>
  <c r="BQ10" i="15" s="1"/>
  <c r="M56" i="15"/>
  <c r="AB25" i="15" s="1"/>
  <c r="G56" i="15"/>
  <c r="AB24" i="15" s="1"/>
  <c r="K31" i="21"/>
  <c r="I31" i="21"/>
  <c r="H31" i="21"/>
  <c r="G31" i="21"/>
  <c r="F31" i="21"/>
  <c r="E31" i="21"/>
  <c r="D31" i="21"/>
  <c r="C31" i="21"/>
  <c r="K30" i="21"/>
  <c r="I30" i="21"/>
  <c r="H30" i="21"/>
  <c r="G30" i="21"/>
  <c r="F30" i="21"/>
  <c r="E30" i="21"/>
  <c r="D30" i="21"/>
  <c r="C30" i="21"/>
  <c r="K29" i="21"/>
  <c r="I29" i="21"/>
  <c r="H29" i="21"/>
  <c r="G29" i="21"/>
  <c r="F29" i="21"/>
  <c r="E29" i="21"/>
  <c r="D29" i="21"/>
  <c r="C29" i="21"/>
  <c r="K28" i="21"/>
  <c r="I28" i="21"/>
  <c r="H28" i="21"/>
  <c r="G28" i="21"/>
  <c r="F28" i="21"/>
  <c r="E28" i="21"/>
  <c r="D28" i="21"/>
  <c r="C28" i="21"/>
  <c r="K27" i="21"/>
  <c r="I27" i="21"/>
  <c r="H27" i="21"/>
  <c r="G27" i="21"/>
  <c r="F27" i="21"/>
  <c r="E27" i="21"/>
  <c r="D27" i="21"/>
  <c r="C27" i="21"/>
  <c r="K26" i="21"/>
  <c r="I26" i="21"/>
  <c r="H26" i="21"/>
  <c r="G26" i="21"/>
  <c r="F26" i="21"/>
  <c r="E26" i="21"/>
  <c r="D26" i="21"/>
  <c r="C26" i="21"/>
  <c r="K25" i="21"/>
  <c r="I25" i="21"/>
  <c r="H25" i="21"/>
  <c r="G25" i="21"/>
  <c r="F25" i="21"/>
  <c r="E25" i="21"/>
  <c r="D25" i="21"/>
  <c r="C25" i="21"/>
  <c r="K24" i="21"/>
  <c r="I24" i="21"/>
  <c r="H24" i="21"/>
  <c r="G24" i="21"/>
  <c r="F24" i="21"/>
  <c r="E24" i="21"/>
  <c r="D24" i="21"/>
  <c r="C24" i="21"/>
  <c r="K23" i="21"/>
  <c r="I23" i="21"/>
  <c r="H23" i="21"/>
  <c r="G23" i="21"/>
  <c r="F23" i="21"/>
  <c r="E23" i="21"/>
  <c r="D23" i="21"/>
  <c r="C23" i="21"/>
  <c r="K22" i="21"/>
  <c r="I22" i="21"/>
  <c r="H22" i="21"/>
  <c r="G22" i="21"/>
  <c r="F22" i="21"/>
  <c r="E22" i="21"/>
  <c r="D22" i="21"/>
  <c r="C22" i="21"/>
  <c r="K21" i="21"/>
  <c r="I21" i="21"/>
  <c r="H21" i="21"/>
  <c r="G21" i="21"/>
  <c r="F21" i="21"/>
  <c r="E21" i="21"/>
  <c r="D21" i="21"/>
  <c r="C21" i="21"/>
  <c r="K20" i="21"/>
  <c r="I20" i="21"/>
  <c r="H20" i="21"/>
  <c r="G20" i="21"/>
  <c r="F20" i="21"/>
  <c r="E20" i="21"/>
  <c r="D20" i="21"/>
  <c r="C20" i="21"/>
  <c r="K19" i="21"/>
  <c r="I19" i="21"/>
  <c r="H19" i="21"/>
  <c r="G19" i="21"/>
  <c r="F19" i="21"/>
  <c r="E19" i="21"/>
  <c r="D19" i="21"/>
  <c r="C19" i="21"/>
  <c r="K18" i="21"/>
  <c r="I18" i="21"/>
  <c r="H18" i="21"/>
  <c r="G18" i="21"/>
  <c r="F18" i="21"/>
  <c r="E18" i="21"/>
  <c r="D18" i="21"/>
  <c r="C18" i="21"/>
  <c r="K17" i="21"/>
  <c r="I17" i="21"/>
  <c r="H17" i="21"/>
  <c r="G17" i="21"/>
  <c r="F17" i="21"/>
  <c r="E17" i="21"/>
  <c r="D17" i="21"/>
  <c r="C17" i="21"/>
  <c r="K16" i="21"/>
  <c r="I16" i="21"/>
  <c r="H16" i="21"/>
  <c r="G16" i="21"/>
  <c r="F16" i="21"/>
  <c r="E16" i="21"/>
  <c r="D16" i="21"/>
  <c r="C16" i="21"/>
  <c r="K15" i="21"/>
  <c r="I15" i="21"/>
  <c r="H15" i="21"/>
  <c r="G15" i="21"/>
  <c r="F15" i="21"/>
  <c r="E15" i="21"/>
  <c r="D15" i="21"/>
  <c r="C15" i="21"/>
  <c r="K14" i="21"/>
  <c r="I14" i="21"/>
  <c r="H14" i="21"/>
  <c r="G14" i="21"/>
  <c r="F14" i="21"/>
  <c r="E14" i="21"/>
  <c r="D14" i="21"/>
  <c r="C14" i="21"/>
  <c r="K13" i="21"/>
  <c r="I13" i="21"/>
  <c r="H13" i="21"/>
  <c r="G13" i="21"/>
  <c r="F13" i="21"/>
  <c r="E13" i="21"/>
  <c r="D13" i="21"/>
  <c r="C13" i="21"/>
  <c r="K12" i="21"/>
  <c r="I12" i="21"/>
  <c r="H12" i="21"/>
  <c r="G12" i="21"/>
  <c r="F12" i="21"/>
  <c r="E12" i="21"/>
  <c r="D12" i="21"/>
  <c r="C12" i="21"/>
  <c r="K11" i="21"/>
  <c r="I11" i="21"/>
  <c r="H11" i="21"/>
  <c r="G11" i="21"/>
  <c r="F11" i="21"/>
  <c r="E11" i="21"/>
  <c r="D11" i="21"/>
  <c r="C11" i="21"/>
  <c r="K10" i="21"/>
  <c r="I10" i="21"/>
  <c r="H10" i="21"/>
  <c r="G10" i="21"/>
  <c r="F10" i="21"/>
  <c r="E10" i="21"/>
  <c r="D10" i="21"/>
  <c r="C10" i="21"/>
  <c r="K9" i="21"/>
  <c r="I9" i="21"/>
  <c r="H9" i="21"/>
  <c r="G9" i="21"/>
  <c r="F9" i="21"/>
  <c r="E9" i="21"/>
  <c r="D9" i="21"/>
  <c r="C9" i="21"/>
  <c r="K8" i="21"/>
  <c r="I8" i="21"/>
  <c r="H8" i="21"/>
  <c r="G8" i="21"/>
  <c r="F8" i="21"/>
  <c r="E8" i="21"/>
  <c r="D8" i="21"/>
  <c r="C8" i="21"/>
  <c r="K7" i="21"/>
  <c r="I7" i="21"/>
  <c r="H7" i="21"/>
  <c r="G7" i="21"/>
  <c r="F7" i="21"/>
  <c r="E7" i="21"/>
  <c r="D7" i="21"/>
  <c r="C7" i="21"/>
  <c r="K6" i="21"/>
  <c r="I6" i="21"/>
  <c r="H6" i="21"/>
  <c r="G6" i="21"/>
  <c r="F6" i="21"/>
  <c r="E6" i="21"/>
  <c r="D6" i="21"/>
  <c r="C6" i="21"/>
  <c r="K5" i="21"/>
  <c r="I5" i="21"/>
  <c r="H5" i="21"/>
  <c r="G5" i="21"/>
  <c r="F5" i="21"/>
  <c r="E5" i="21"/>
  <c r="D5" i="21"/>
  <c r="C5" i="21"/>
  <c r="K4" i="21"/>
  <c r="I4" i="21"/>
  <c r="H4" i="21"/>
  <c r="G4" i="21"/>
  <c r="F4" i="21"/>
  <c r="E4" i="21"/>
  <c r="D4" i="21"/>
  <c r="C4" i="21"/>
  <c r="K3" i="21"/>
  <c r="K2" i="21"/>
  <c r="I3" i="21"/>
  <c r="H3" i="21"/>
  <c r="G3" i="21"/>
  <c r="F3" i="21"/>
  <c r="E3" i="21"/>
  <c r="D3" i="21"/>
  <c r="C3" i="21"/>
  <c r="I2" i="21"/>
  <c r="H2" i="21"/>
  <c r="G2" i="21"/>
  <c r="F2" i="21"/>
  <c r="E2" i="21"/>
  <c r="D2" i="21"/>
  <c r="C2" i="21"/>
  <c r="J31" i="21" l="1"/>
  <c r="L31" i="21" s="1"/>
  <c r="J30" i="21"/>
  <c r="L30" i="21" s="1"/>
  <c r="J29" i="21"/>
  <c r="L29" i="21" s="1"/>
  <c r="J28" i="21"/>
  <c r="L28" i="21" s="1"/>
  <c r="J27" i="21"/>
  <c r="L27" i="21" s="1"/>
  <c r="J26" i="21"/>
  <c r="L26" i="21" s="1"/>
  <c r="J25" i="21"/>
  <c r="L25" i="21" s="1"/>
  <c r="J24" i="21"/>
  <c r="L24" i="21" s="1"/>
  <c r="J23" i="21"/>
  <c r="L23" i="21" s="1"/>
  <c r="J22" i="21"/>
  <c r="L22" i="21" s="1"/>
  <c r="J21" i="21"/>
  <c r="L21" i="21" s="1"/>
  <c r="J20" i="21"/>
  <c r="L20" i="21" s="1"/>
  <c r="J19" i="21"/>
  <c r="L19" i="21" s="1"/>
  <c r="J18" i="21"/>
  <c r="L18" i="21" s="1"/>
  <c r="J17" i="21"/>
  <c r="L17" i="21" s="1"/>
  <c r="J16" i="21"/>
  <c r="L16" i="21" s="1"/>
  <c r="J15" i="21"/>
  <c r="L15" i="21" s="1"/>
  <c r="J14" i="21"/>
  <c r="L14" i="21" s="1"/>
  <c r="J13" i="21"/>
  <c r="L13" i="21" s="1"/>
  <c r="J12" i="21"/>
  <c r="L12" i="21" s="1"/>
  <c r="J2" i="21"/>
  <c r="J11" i="21"/>
  <c r="L11" i="21" s="1"/>
  <c r="J10" i="21"/>
  <c r="L10" i="21" s="1"/>
  <c r="J9" i="21"/>
  <c r="L9" i="21" s="1"/>
  <c r="J8" i="21"/>
  <c r="L8" i="21" s="1"/>
  <c r="J7" i="21"/>
  <c r="L7" i="21" s="1"/>
  <c r="J6" i="21"/>
  <c r="L6" i="21" s="1"/>
  <c r="J5" i="21"/>
  <c r="L5" i="21" s="1"/>
  <c r="L2" i="21"/>
  <c r="J3" i="21"/>
  <c r="L3" i="21" s="1"/>
  <c r="J4" i="21"/>
  <c r="L4" i="21" s="1"/>
  <c r="T21" i="4"/>
  <c r="AD21" i="4"/>
  <c r="Y21" i="4"/>
  <c r="AV118" i="16" l="1"/>
  <c r="AV117" i="16"/>
  <c r="AV116" i="16"/>
  <c r="AV115" i="16"/>
  <c r="AV114" i="16"/>
  <c r="AV113" i="16"/>
  <c r="AV112" i="16"/>
  <c r="AS118" i="16"/>
  <c r="AS117" i="16"/>
  <c r="AS116" i="16"/>
  <c r="AS115" i="16"/>
  <c r="AS114" i="16"/>
  <c r="AS113" i="16"/>
  <c r="AS112" i="16"/>
  <c r="AP118" i="16"/>
  <c r="AP117" i="16"/>
  <c r="AP116" i="16"/>
  <c r="AP115" i="16"/>
  <c r="AP114" i="16"/>
  <c r="AP113" i="16"/>
  <c r="AP112" i="16"/>
  <c r="AM118" i="16"/>
  <c r="AM117" i="16"/>
  <c r="AM116" i="16"/>
  <c r="AM115" i="16"/>
  <c r="AM114" i="16"/>
  <c r="AM113" i="16"/>
  <c r="AM112" i="16"/>
  <c r="AJ118" i="16"/>
  <c r="AJ117" i="16"/>
  <c r="AJ116" i="16"/>
  <c r="AJ115" i="16"/>
  <c r="AJ114" i="16"/>
  <c r="AJ113" i="16"/>
  <c r="AJ112" i="16"/>
  <c r="AV108" i="16"/>
  <c r="AV107" i="16"/>
  <c r="AV106" i="16"/>
  <c r="AV105" i="16"/>
  <c r="AV104" i="16"/>
  <c r="AV103" i="16"/>
  <c r="AV102" i="16"/>
  <c r="AS108" i="16"/>
  <c r="AS107" i="16"/>
  <c r="AS106" i="16"/>
  <c r="AS105" i="16"/>
  <c r="AS104" i="16"/>
  <c r="AS103" i="16"/>
  <c r="AS102" i="16"/>
  <c r="AS109" i="16" s="1"/>
  <c r="AP108" i="16"/>
  <c r="AP107" i="16"/>
  <c r="AP106" i="16"/>
  <c r="AP105" i="16"/>
  <c r="AP104" i="16"/>
  <c r="AP103" i="16"/>
  <c r="AP102" i="16"/>
  <c r="AM108" i="16"/>
  <c r="AM98" i="16"/>
  <c r="AM107" i="16"/>
  <c r="AM106" i="16"/>
  <c r="AM105" i="16"/>
  <c r="AM104" i="16"/>
  <c r="AM103" i="16"/>
  <c r="AM102" i="16"/>
  <c r="AJ108" i="16"/>
  <c r="AJ107" i="16"/>
  <c r="AJ106" i="16"/>
  <c r="AJ105" i="16"/>
  <c r="AJ104" i="16"/>
  <c r="AJ103" i="16"/>
  <c r="AJ102" i="16"/>
  <c r="AV98" i="16"/>
  <c r="AV97" i="16"/>
  <c r="AV96" i="16"/>
  <c r="AV95" i="16"/>
  <c r="AV94" i="16"/>
  <c r="AV93" i="16"/>
  <c r="AV92" i="16"/>
  <c r="AS98" i="16"/>
  <c r="AS97" i="16"/>
  <c r="AS96" i="16"/>
  <c r="AS95" i="16"/>
  <c r="AS94" i="16"/>
  <c r="AS93" i="16"/>
  <c r="AS92" i="16"/>
  <c r="AP98" i="16"/>
  <c r="AP97" i="16"/>
  <c r="AP96" i="16"/>
  <c r="AP95" i="16"/>
  <c r="AP94" i="16"/>
  <c r="AP93" i="16"/>
  <c r="AP92" i="16"/>
  <c r="AM97" i="16"/>
  <c r="AM96" i="16"/>
  <c r="AM95" i="16"/>
  <c r="AM94" i="16"/>
  <c r="AM93" i="16"/>
  <c r="AM92" i="16"/>
  <c r="AJ98" i="16"/>
  <c r="AJ97" i="16"/>
  <c r="AJ96" i="16"/>
  <c r="AJ95" i="16"/>
  <c r="AJ94" i="16"/>
  <c r="AJ93" i="16"/>
  <c r="AJ92" i="16"/>
  <c r="AV88" i="16"/>
  <c r="AV87" i="16"/>
  <c r="AV86" i="16"/>
  <c r="AV85" i="16"/>
  <c r="AV84" i="16"/>
  <c r="AV83" i="16"/>
  <c r="AV82" i="16"/>
  <c r="AS88" i="16"/>
  <c r="AS87" i="16"/>
  <c r="AS86" i="16"/>
  <c r="AS85" i="16"/>
  <c r="AS84" i="16"/>
  <c r="AS83" i="16"/>
  <c r="AS82" i="16"/>
  <c r="AP88" i="16"/>
  <c r="AP87" i="16"/>
  <c r="AP86" i="16"/>
  <c r="AP85" i="16"/>
  <c r="AP84" i="16"/>
  <c r="AP83" i="16"/>
  <c r="AP82" i="16"/>
  <c r="AM88" i="16"/>
  <c r="AM87" i="16"/>
  <c r="AM86" i="16"/>
  <c r="AM85" i="16"/>
  <c r="AM84" i="16"/>
  <c r="AM83" i="16"/>
  <c r="AM82" i="16"/>
  <c r="AJ88" i="16"/>
  <c r="AJ87" i="16"/>
  <c r="AJ86" i="16"/>
  <c r="AJ85" i="16"/>
  <c r="AJ84" i="16"/>
  <c r="AJ83" i="16"/>
  <c r="AJ82" i="16"/>
  <c r="AV78" i="16"/>
  <c r="AV77" i="16"/>
  <c r="AV76" i="16"/>
  <c r="AV75" i="16"/>
  <c r="AV74" i="16"/>
  <c r="AV73" i="16"/>
  <c r="AV72" i="16"/>
  <c r="AS78" i="16"/>
  <c r="AS77" i="16"/>
  <c r="AS76" i="16"/>
  <c r="AS75" i="16"/>
  <c r="AS74" i="16"/>
  <c r="AS73" i="16"/>
  <c r="AS72" i="16"/>
  <c r="AP78" i="16"/>
  <c r="AP77" i="16"/>
  <c r="AP76" i="16"/>
  <c r="AP75" i="16"/>
  <c r="AP74" i="16"/>
  <c r="AP73" i="16"/>
  <c r="AP72" i="16"/>
  <c r="AM78" i="16"/>
  <c r="AM77" i="16"/>
  <c r="AM76" i="16"/>
  <c r="AM75" i="16"/>
  <c r="AM74" i="16"/>
  <c r="AM73" i="16"/>
  <c r="AM72" i="16"/>
  <c r="AJ78" i="16"/>
  <c r="AJ77" i="16"/>
  <c r="AJ76" i="16"/>
  <c r="AJ75" i="16"/>
  <c r="AJ74" i="16"/>
  <c r="AJ73" i="16"/>
  <c r="AJ72" i="16"/>
  <c r="AV68" i="16"/>
  <c r="AV67" i="16"/>
  <c r="AV66" i="16"/>
  <c r="AV65" i="16"/>
  <c r="AV64" i="16"/>
  <c r="AV63" i="16"/>
  <c r="AV62" i="16"/>
  <c r="AS68" i="16"/>
  <c r="AS67" i="16"/>
  <c r="AS66" i="16"/>
  <c r="AS65" i="16"/>
  <c r="AS64" i="16"/>
  <c r="AS63" i="16"/>
  <c r="AS62" i="16"/>
  <c r="AP68" i="16"/>
  <c r="AP67" i="16"/>
  <c r="AP66" i="16"/>
  <c r="AP65" i="16"/>
  <c r="AP64" i="16"/>
  <c r="AP63" i="16"/>
  <c r="AP62" i="16"/>
  <c r="AM68" i="16"/>
  <c r="AM67" i="16"/>
  <c r="AM66" i="16"/>
  <c r="AM65" i="16"/>
  <c r="AM64" i="16"/>
  <c r="AM63" i="16"/>
  <c r="AM62" i="16"/>
  <c r="AJ68" i="16"/>
  <c r="AJ67" i="16"/>
  <c r="AJ66" i="16"/>
  <c r="AJ65" i="16"/>
  <c r="AJ64" i="16"/>
  <c r="AJ63" i="16"/>
  <c r="AJ62" i="16"/>
  <c r="AV58" i="16"/>
  <c r="AV57" i="16"/>
  <c r="AV56" i="16"/>
  <c r="AV55" i="16"/>
  <c r="AV54" i="16"/>
  <c r="AV53" i="16"/>
  <c r="AV52" i="16"/>
  <c r="AV59" i="16" s="1"/>
  <c r="AS58" i="16"/>
  <c r="AS57" i="16"/>
  <c r="AS56" i="16"/>
  <c r="AS55" i="16"/>
  <c r="AS54" i="16"/>
  <c r="AS53" i="16"/>
  <c r="AS52" i="16"/>
  <c r="AP58" i="16"/>
  <c r="AP57" i="16"/>
  <c r="AP56" i="16"/>
  <c r="AP55" i="16"/>
  <c r="AP54" i="16"/>
  <c r="AP53" i="16"/>
  <c r="AP52" i="16"/>
  <c r="AM58" i="16"/>
  <c r="AM57" i="16"/>
  <c r="AM56" i="16"/>
  <c r="AM55" i="16"/>
  <c r="AM54" i="16"/>
  <c r="AM53" i="16"/>
  <c r="AM52" i="16"/>
  <c r="AJ58" i="16"/>
  <c r="AJ57" i="16"/>
  <c r="AJ56" i="16"/>
  <c r="AJ55" i="16"/>
  <c r="AJ54" i="16"/>
  <c r="AJ53" i="16"/>
  <c r="AJ52" i="16"/>
  <c r="AV48" i="16"/>
  <c r="AV47" i="16"/>
  <c r="AV46" i="16"/>
  <c r="AV45" i="16"/>
  <c r="AV44" i="16"/>
  <c r="AV43" i="16"/>
  <c r="AV42" i="16"/>
  <c r="AS48" i="16"/>
  <c r="AS47" i="16"/>
  <c r="AS46" i="16"/>
  <c r="AS45" i="16"/>
  <c r="AS44" i="16"/>
  <c r="AS43" i="16"/>
  <c r="AS42" i="16"/>
  <c r="AP48" i="16"/>
  <c r="AP47" i="16"/>
  <c r="AP46" i="16"/>
  <c r="AP45" i="16"/>
  <c r="AP44" i="16"/>
  <c r="AP43" i="16"/>
  <c r="AP42" i="16"/>
  <c r="AM48" i="16"/>
  <c r="AM47" i="16"/>
  <c r="AM46" i="16"/>
  <c r="AM45" i="16"/>
  <c r="AM44" i="16"/>
  <c r="AM43" i="16"/>
  <c r="AM42" i="16"/>
  <c r="AJ48" i="16"/>
  <c r="AJ47" i="16"/>
  <c r="AJ46" i="16"/>
  <c r="AJ45" i="16"/>
  <c r="AJ44" i="16"/>
  <c r="AJ43" i="16"/>
  <c r="AJ42" i="16"/>
  <c r="AV38" i="16"/>
  <c r="AV37" i="16"/>
  <c r="AV36" i="16"/>
  <c r="AV35" i="16"/>
  <c r="AV34" i="16"/>
  <c r="AV33" i="16"/>
  <c r="AV32" i="16"/>
  <c r="AS38" i="16"/>
  <c r="AS37" i="16"/>
  <c r="AS36" i="16"/>
  <c r="AS35" i="16"/>
  <c r="AS34" i="16"/>
  <c r="AS33" i="16"/>
  <c r="AS32" i="16"/>
  <c r="AP38" i="16"/>
  <c r="AP37" i="16"/>
  <c r="AP36" i="16"/>
  <c r="AP35" i="16"/>
  <c r="AP34" i="16"/>
  <c r="AP33" i="16"/>
  <c r="AP32" i="16"/>
  <c r="AM38" i="16"/>
  <c r="AM37" i="16"/>
  <c r="AM36" i="16"/>
  <c r="AM35" i="16"/>
  <c r="AM34" i="16"/>
  <c r="AM33" i="16"/>
  <c r="AM32" i="16"/>
  <c r="AJ38" i="16"/>
  <c r="AJ37" i="16"/>
  <c r="AJ36" i="16"/>
  <c r="AJ35" i="16"/>
  <c r="AJ34" i="16"/>
  <c r="AJ33" i="16"/>
  <c r="AJ32" i="16"/>
  <c r="AV28" i="16"/>
  <c r="AV27" i="16"/>
  <c r="AV26" i="16"/>
  <c r="AV25" i="16"/>
  <c r="AV24" i="16"/>
  <c r="AV23" i="16"/>
  <c r="AV22" i="16"/>
  <c r="AS28" i="16"/>
  <c r="AS27" i="16"/>
  <c r="AS26" i="16"/>
  <c r="AS25" i="16"/>
  <c r="AS24" i="16"/>
  <c r="AS23" i="16"/>
  <c r="AS22" i="16"/>
  <c r="AP28" i="16"/>
  <c r="AP27" i="16"/>
  <c r="AP26" i="16"/>
  <c r="AP25" i="16"/>
  <c r="AP24" i="16"/>
  <c r="AP23" i="16"/>
  <c r="AP22" i="16"/>
  <c r="AM28" i="16"/>
  <c r="AM27" i="16"/>
  <c r="AM26" i="16"/>
  <c r="AM25" i="16"/>
  <c r="AM24" i="16"/>
  <c r="AM23" i="16"/>
  <c r="AM22" i="16"/>
  <c r="AJ28" i="16"/>
  <c r="AJ27" i="16"/>
  <c r="AJ26" i="16"/>
  <c r="AJ25" i="16"/>
  <c r="AJ24" i="16"/>
  <c r="AJ23" i="16"/>
  <c r="AJ22" i="16"/>
  <c r="AV18" i="16"/>
  <c r="AV17" i="16"/>
  <c r="AV16" i="16"/>
  <c r="AV15" i="16"/>
  <c r="AV14" i="16"/>
  <c r="AV13" i="16"/>
  <c r="AV12" i="16"/>
  <c r="AS18" i="16"/>
  <c r="AS17" i="16"/>
  <c r="AS16" i="16"/>
  <c r="AS15" i="16"/>
  <c r="AS14" i="16"/>
  <c r="AS13" i="16"/>
  <c r="AS12" i="16"/>
  <c r="AP18" i="16"/>
  <c r="AP17" i="16"/>
  <c r="AP16" i="16"/>
  <c r="AP15" i="16"/>
  <c r="AP14" i="16"/>
  <c r="AP13" i="16"/>
  <c r="AP12" i="16"/>
  <c r="AM18" i="16"/>
  <c r="AM17" i="16"/>
  <c r="AM16" i="16"/>
  <c r="AM15" i="16"/>
  <c r="AM14" i="16"/>
  <c r="AM13" i="16"/>
  <c r="AM12" i="16"/>
  <c r="AJ17" i="16"/>
  <c r="AJ16" i="16"/>
  <c r="AJ15" i="16"/>
  <c r="AJ14" i="16"/>
  <c r="AJ13" i="16"/>
  <c r="AJ12" i="16"/>
  <c r="AJ18" i="16"/>
  <c r="AV8" i="16"/>
  <c r="AV7" i="16"/>
  <c r="AV6" i="16"/>
  <c r="AV5" i="16"/>
  <c r="AV4" i="16"/>
  <c r="AV3" i="16"/>
  <c r="AV2" i="16"/>
  <c r="AS8" i="16"/>
  <c r="AS7" i="16"/>
  <c r="AS6" i="16"/>
  <c r="AS5" i="16"/>
  <c r="AS4" i="16"/>
  <c r="AS3" i="16"/>
  <c r="AS2" i="16"/>
  <c r="AP8" i="16"/>
  <c r="AP7" i="16"/>
  <c r="AP6" i="16"/>
  <c r="AP5" i="16"/>
  <c r="AP4" i="16"/>
  <c r="AP3" i="16"/>
  <c r="AP2" i="16"/>
  <c r="AM8" i="16"/>
  <c r="AM7" i="16"/>
  <c r="AM6" i="16"/>
  <c r="AM5" i="16"/>
  <c r="AM4" i="16"/>
  <c r="AM3" i="16"/>
  <c r="AM2" i="16"/>
  <c r="AJ8" i="16"/>
  <c r="AJ7" i="16"/>
  <c r="AJ6" i="16"/>
  <c r="AJ5" i="16"/>
  <c r="AJ4" i="16"/>
  <c r="AJ3" i="16"/>
  <c r="AJ2" i="16"/>
  <c r="BN118" i="15"/>
  <c r="BN117" i="15"/>
  <c r="BN116" i="15"/>
  <c r="BN115" i="15"/>
  <c r="BN114" i="15"/>
  <c r="BN113" i="15"/>
  <c r="BN112" i="15"/>
  <c r="BK118" i="15"/>
  <c r="BK117" i="15"/>
  <c r="BK116" i="15"/>
  <c r="BK115" i="15"/>
  <c r="BK114" i="15"/>
  <c r="BK113" i="15"/>
  <c r="BK112" i="15"/>
  <c r="BH118" i="15"/>
  <c r="BH117" i="15"/>
  <c r="BH116" i="15"/>
  <c r="BH115" i="15"/>
  <c r="BH114" i="15"/>
  <c r="BH113" i="15"/>
  <c r="BH112" i="15"/>
  <c r="BE118" i="15"/>
  <c r="BE117" i="15"/>
  <c r="BE116" i="15"/>
  <c r="BE115" i="15"/>
  <c r="BE114" i="15"/>
  <c r="BE113" i="15"/>
  <c r="BE112" i="15"/>
  <c r="BB118" i="15"/>
  <c r="BB117" i="15"/>
  <c r="BB116" i="15"/>
  <c r="BB115" i="15"/>
  <c r="BB114" i="15"/>
  <c r="BB113" i="15"/>
  <c r="BB112" i="15"/>
  <c r="AY118" i="15"/>
  <c r="AY117" i="15"/>
  <c r="AY116" i="15"/>
  <c r="AY115" i="15"/>
  <c r="AY114" i="15"/>
  <c r="AY113" i="15"/>
  <c r="AY112" i="15"/>
  <c r="AV118" i="15"/>
  <c r="AV117" i="15"/>
  <c r="AV116" i="15"/>
  <c r="AV115" i="15"/>
  <c r="AV114" i="15"/>
  <c r="AV113" i="15"/>
  <c r="AV112" i="15"/>
  <c r="AS118" i="15"/>
  <c r="AS117" i="15"/>
  <c r="AS116" i="15"/>
  <c r="AS115" i="15"/>
  <c r="AS114" i="15"/>
  <c r="AS113" i="15"/>
  <c r="AS112" i="15"/>
  <c r="BN108" i="15"/>
  <c r="BN107" i="15"/>
  <c r="BN106" i="15"/>
  <c r="BN105" i="15"/>
  <c r="BN104" i="15"/>
  <c r="BN103" i="15"/>
  <c r="BN102" i="15"/>
  <c r="BK108" i="15"/>
  <c r="BK107" i="15"/>
  <c r="BK106" i="15"/>
  <c r="BK105" i="15"/>
  <c r="BK104" i="15"/>
  <c r="BK103" i="15"/>
  <c r="BK102" i="15"/>
  <c r="BH108" i="15"/>
  <c r="BH107" i="15"/>
  <c r="BH106" i="15"/>
  <c r="BH105" i="15"/>
  <c r="BH104" i="15"/>
  <c r="BH103" i="15"/>
  <c r="BH102" i="15"/>
  <c r="BE108" i="15"/>
  <c r="BE107" i="15"/>
  <c r="BE106" i="15"/>
  <c r="BE105" i="15"/>
  <c r="BE104" i="15"/>
  <c r="BE103" i="15"/>
  <c r="BE102" i="15"/>
  <c r="BB108" i="15"/>
  <c r="BB107" i="15"/>
  <c r="BB106" i="15"/>
  <c r="BB105" i="15"/>
  <c r="BB104" i="15"/>
  <c r="BB103" i="15"/>
  <c r="BB102" i="15"/>
  <c r="AY108" i="15"/>
  <c r="AY107" i="15"/>
  <c r="AY106" i="15"/>
  <c r="AY105" i="15"/>
  <c r="AY104" i="15"/>
  <c r="AY103" i="15"/>
  <c r="AY102" i="15"/>
  <c r="AV108" i="15"/>
  <c r="AV107" i="15"/>
  <c r="AV106" i="15"/>
  <c r="AV105" i="15"/>
  <c r="AV104" i="15"/>
  <c r="AV103" i="15"/>
  <c r="AV102" i="15"/>
  <c r="AS108" i="15"/>
  <c r="AS107" i="15"/>
  <c r="AS106" i="15"/>
  <c r="AS105" i="15"/>
  <c r="AS104" i="15"/>
  <c r="AS103" i="15"/>
  <c r="AS102" i="15"/>
  <c r="BN98" i="15"/>
  <c r="BN97" i="15"/>
  <c r="BN96" i="15"/>
  <c r="BN95" i="15"/>
  <c r="BN94" i="15"/>
  <c r="BN93" i="15"/>
  <c r="BN92" i="15"/>
  <c r="BK98" i="15"/>
  <c r="BK97" i="15"/>
  <c r="BK96" i="15"/>
  <c r="BK95" i="15"/>
  <c r="BK94" i="15"/>
  <c r="BK93" i="15"/>
  <c r="BK92" i="15"/>
  <c r="BH98" i="15"/>
  <c r="BH97" i="15"/>
  <c r="BH96" i="15"/>
  <c r="BH95" i="15"/>
  <c r="BH94" i="15"/>
  <c r="BH93" i="15"/>
  <c r="BH92" i="15"/>
  <c r="BE98" i="15"/>
  <c r="BE97" i="15"/>
  <c r="BE96" i="15"/>
  <c r="BE95" i="15"/>
  <c r="BE94" i="15"/>
  <c r="BE93" i="15"/>
  <c r="BE92" i="15"/>
  <c r="BB98" i="15"/>
  <c r="BB97" i="15"/>
  <c r="BB96" i="15"/>
  <c r="BB95" i="15"/>
  <c r="BB94" i="15"/>
  <c r="BB93" i="15"/>
  <c r="BB92" i="15"/>
  <c r="AY98" i="15"/>
  <c r="AY97" i="15"/>
  <c r="AY96" i="15"/>
  <c r="AY95" i="15"/>
  <c r="AY94" i="15"/>
  <c r="AY93" i="15"/>
  <c r="AY92" i="15"/>
  <c r="AV98" i="15"/>
  <c r="AV97" i="15"/>
  <c r="AV96" i="15"/>
  <c r="AV95" i="15"/>
  <c r="AV94" i="15"/>
  <c r="AV93" i="15"/>
  <c r="AV92" i="15"/>
  <c r="AS98" i="15"/>
  <c r="AS97" i="15"/>
  <c r="AS96" i="15"/>
  <c r="AS95" i="15"/>
  <c r="AS94" i="15"/>
  <c r="AS93" i="15"/>
  <c r="AS92" i="15"/>
  <c r="BN88" i="15"/>
  <c r="BN87" i="15"/>
  <c r="BN86" i="15"/>
  <c r="BN85" i="15"/>
  <c r="BN84" i="15"/>
  <c r="BN83" i="15"/>
  <c r="BN82" i="15"/>
  <c r="BK88" i="15"/>
  <c r="BK87" i="15"/>
  <c r="BK86" i="15"/>
  <c r="BK85" i="15"/>
  <c r="BK84" i="15"/>
  <c r="BK83" i="15"/>
  <c r="BK82" i="15"/>
  <c r="BH88" i="15"/>
  <c r="BH87" i="15"/>
  <c r="BH86" i="15"/>
  <c r="BH85" i="15"/>
  <c r="BH84" i="15"/>
  <c r="BH83" i="15"/>
  <c r="BH82" i="15"/>
  <c r="BE88" i="15"/>
  <c r="BE87" i="15"/>
  <c r="BE86" i="15"/>
  <c r="BE85" i="15"/>
  <c r="BE84" i="15"/>
  <c r="BE83" i="15"/>
  <c r="BE82" i="15"/>
  <c r="BB88" i="15"/>
  <c r="BB87" i="15"/>
  <c r="BB86" i="15"/>
  <c r="BB85" i="15"/>
  <c r="BB84" i="15"/>
  <c r="BB83" i="15"/>
  <c r="BB82" i="15"/>
  <c r="AY88" i="15"/>
  <c r="AY87" i="15"/>
  <c r="AY86" i="15"/>
  <c r="AY85" i="15"/>
  <c r="AY84" i="15"/>
  <c r="AY83" i="15"/>
  <c r="AY82" i="15"/>
  <c r="AV88" i="15"/>
  <c r="AV87" i="15"/>
  <c r="AV86" i="15"/>
  <c r="AV85" i="15"/>
  <c r="AV84" i="15"/>
  <c r="AV83" i="15"/>
  <c r="AV82" i="15"/>
  <c r="AS88" i="15"/>
  <c r="AS87" i="15"/>
  <c r="AS86" i="15"/>
  <c r="AS85" i="15"/>
  <c r="AS84" i="15"/>
  <c r="AS83" i="15"/>
  <c r="AS82" i="15"/>
  <c r="BN78" i="15"/>
  <c r="BN77" i="15"/>
  <c r="BN76" i="15"/>
  <c r="BN75" i="15"/>
  <c r="BN74" i="15"/>
  <c r="BN73" i="15"/>
  <c r="BN72" i="15"/>
  <c r="BK78" i="15"/>
  <c r="BK77" i="15"/>
  <c r="BK76" i="15"/>
  <c r="BK75" i="15"/>
  <c r="BK74" i="15"/>
  <c r="BK73" i="15"/>
  <c r="BK72" i="15"/>
  <c r="BH78" i="15"/>
  <c r="BH77" i="15"/>
  <c r="BH76" i="15"/>
  <c r="BH75" i="15"/>
  <c r="BH74" i="15"/>
  <c r="BH73" i="15"/>
  <c r="BH72" i="15"/>
  <c r="BE78" i="15"/>
  <c r="BE77" i="15"/>
  <c r="BE76" i="15"/>
  <c r="BE75" i="15"/>
  <c r="BE74" i="15"/>
  <c r="BE73" i="15"/>
  <c r="BE72" i="15"/>
  <c r="BB78" i="15"/>
  <c r="BB77" i="15"/>
  <c r="BB76" i="15"/>
  <c r="BB75" i="15"/>
  <c r="BB74" i="15"/>
  <c r="BB73" i="15"/>
  <c r="BB72" i="15"/>
  <c r="AY78" i="15"/>
  <c r="AY77" i="15"/>
  <c r="AY76" i="15"/>
  <c r="AY75" i="15"/>
  <c r="AY74" i="15"/>
  <c r="AY73" i="15"/>
  <c r="AY72" i="15"/>
  <c r="AV78" i="15"/>
  <c r="AV77" i="15"/>
  <c r="AV76" i="15"/>
  <c r="AV75" i="15"/>
  <c r="AV74" i="15"/>
  <c r="AV73" i="15"/>
  <c r="AV72" i="15"/>
  <c r="AS78" i="15"/>
  <c r="AS77" i="15"/>
  <c r="AS76" i="15"/>
  <c r="AS75" i="15"/>
  <c r="AS74" i="15"/>
  <c r="AS73" i="15"/>
  <c r="AS72" i="15"/>
  <c r="BN68" i="15"/>
  <c r="BN67" i="15"/>
  <c r="BN66" i="15"/>
  <c r="BN65" i="15"/>
  <c r="BN64" i="15"/>
  <c r="BN63" i="15"/>
  <c r="BN62" i="15"/>
  <c r="BK68" i="15"/>
  <c r="BK67" i="15"/>
  <c r="BK66" i="15"/>
  <c r="BK65" i="15"/>
  <c r="BK64" i="15"/>
  <c r="BK63" i="15"/>
  <c r="BK62" i="15"/>
  <c r="BH68" i="15"/>
  <c r="BH67" i="15"/>
  <c r="BH66" i="15"/>
  <c r="BH65" i="15"/>
  <c r="BH64" i="15"/>
  <c r="BH63" i="15"/>
  <c r="BH62" i="15"/>
  <c r="BE68" i="15"/>
  <c r="BE67" i="15"/>
  <c r="BE66" i="15"/>
  <c r="BE65" i="15"/>
  <c r="BE64" i="15"/>
  <c r="BE63" i="15"/>
  <c r="BE62" i="15"/>
  <c r="BB68" i="15"/>
  <c r="BB67" i="15"/>
  <c r="BB66" i="15"/>
  <c r="BB65" i="15"/>
  <c r="BB64" i="15"/>
  <c r="BB63" i="15"/>
  <c r="BB62" i="15"/>
  <c r="AY68" i="15"/>
  <c r="AY67" i="15"/>
  <c r="AY66" i="15"/>
  <c r="AY65" i="15"/>
  <c r="AY64" i="15"/>
  <c r="AY63" i="15"/>
  <c r="AY62" i="15"/>
  <c r="AV68" i="15"/>
  <c r="AV67" i="15"/>
  <c r="AV66" i="15"/>
  <c r="AV65" i="15"/>
  <c r="AV64" i="15"/>
  <c r="AV63" i="15"/>
  <c r="AV62" i="15"/>
  <c r="AS68" i="15"/>
  <c r="AS67" i="15"/>
  <c r="AS66" i="15"/>
  <c r="AS65" i="15"/>
  <c r="AS64" i="15"/>
  <c r="AS63" i="15"/>
  <c r="AS62" i="15"/>
  <c r="BN58" i="15"/>
  <c r="BN57" i="15"/>
  <c r="BN56" i="15"/>
  <c r="BN55" i="15"/>
  <c r="BN54" i="15"/>
  <c r="BN53" i="15"/>
  <c r="BN52" i="15"/>
  <c r="BK58" i="15"/>
  <c r="BK57" i="15"/>
  <c r="BK56" i="15"/>
  <c r="BK55" i="15"/>
  <c r="BK54" i="15"/>
  <c r="BK53" i="15"/>
  <c r="BK52" i="15"/>
  <c r="BH58" i="15"/>
  <c r="BH57" i="15"/>
  <c r="BH56" i="15"/>
  <c r="BH55" i="15"/>
  <c r="BH54" i="15"/>
  <c r="BH53" i="15"/>
  <c r="BH52" i="15"/>
  <c r="BE58" i="15"/>
  <c r="BE57" i="15"/>
  <c r="BE56" i="15"/>
  <c r="BE55" i="15"/>
  <c r="BE54" i="15"/>
  <c r="BE53" i="15"/>
  <c r="BE52" i="15"/>
  <c r="BB58" i="15"/>
  <c r="BB57" i="15"/>
  <c r="BB56" i="15"/>
  <c r="BB55" i="15"/>
  <c r="BB54" i="15"/>
  <c r="BB53" i="15"/>
  <c r="BB52" i="15"/>
  <c r="AY58" i="15"/>
  <c r="AY57" i="15"/>
  <c r="AY56" i="15"/>
  <c r="AY55" i="15"/>
  <c r="AY54" i="15"/>
  <c r="AY53" i="15"/>
  <c r="AY52" i="15"/>
  <c r="AV58" i="15"/>
  <c r="AV57" i="15"/>
  <c r="AV56" i="15"/>
  <c r="AV55" i="15"/>
  <c r="AV54" i="15"/>
  <c r="AV53" i="15"/>
  <c r="AV52" i="15"/>
  <c r="AS58" i="15"/>
  <c r="AS57" i="15"/>
  <c r="AS56" i="15"/>
  <c r="AS55" i="15"/>
  <c r="AS54" i="15"/>
  <c r="AS53" i="15"/>
  <c r="AS52" i="15"/>
  <c r="BN48" i="15"/>
  <c r="BN47" i="15"/>
  <c r="BN46" i="15"/>
  <c r="BN45" i="15"/>
  <c r="BN44" i="15"/>
  <c r="BN43" i="15"/>
  <c r="BN42" i="15"/>
  <c r="BK48" i="15"/>
  <c r="BK47" i="15"/>
  <c r="BK46" i="15"/>
  <c r="BK45" i="15"/>
  <c r="BK44" i="15"/>
  <c r="BK43" i="15"/>
  <c r="BK42" i="15"/>
  <c r="BH48" i="15"/>
  <c r="BH47" i="15"/>
  <c r="BH46" i="15"/>
  <c r="BH45" i="15"/>
  <c r="BH44" i="15"/>
  <c r="BH43" i="15"/>
  <c r="BH42" i="15"/>
  <c r="BE48" i="15"/>
  <c r="BE47" i="15"/>
  <c r="BE46" i="15"/>
  <c r="BE45" i="15"/>
  <c r="BE44" i="15"/>
  <c r="BE43" i="15"/>
  <c r="BE42" i="15"/>
  <c r="BB48" i="15"/>
  <c r="BB47" i="15"/>
  <c r="BB46" i="15"/>
  <c r="BB45" i="15"/>
  <c r="BB44" i="15"/>
  <c r="BB43" i="15"/>
  <c r="BB42" i="15"/>
  <c r="AY48" i="15"/>
  <c r="AY47" i="15"/>
  <c r="AY46" i="15"/>
  <c r="AY45" i="15"/>
  <c r="AY44" i="15"/>
  <c r="AY43" i="15"/>
  <c r="AY42" i="15"/>
  <c r="AV48" i="15"/>
  <c r="AV47" i="15"/>
  <c r="AV46" i="15"/>
  <c r="AV45" i="15"/>
  <c r="AV44" i="15"/>
  <c r="AV43" i="15"/>
  <c r="AV42" i="15"/>
  <c r="AS48" i="15"/>
  <c r="AS47" i="15"/>
  <c r="AS46" i="15"/>
  <c r="AS45" i="15"/>
  <c r="AS44" i="15"/>
  <c r="AS43" i="15"/>
  <c r="AS42" i="15"/>
  <c r="AS38" i="15"/>
  <c r="AS37" i="15"/>
  <c r="AS36" i="15"/>
  <c r="AS35" i="15"/>
  <c r="AS34" i="15"/>
  <c r="AS33" i="15"/>
  <c r="AS32" i="15"/>
  <c r="AV38" i="15"/>
  <c r="AV37" i="15"/>
  <c r="AV36" i="15"/>
  <c r="AV35" i="15"/>
  <c r="AV34" i="15"/>
  <c r="AV33" i="15"/>
  <c r="AV32" i="15"/>
  <c r="AY38" i="15"/>
  <c r="AY37" i="15"/>
  <c r="AY36" i="15"/>
  <c r="AY35" i="15"/>
  <c r="AY34" i="15"/>
  <c r="AY33" i="15"/>
  <c r="AY32" i="15"/>
  <c r="BB38" i="15"/>
  <c r="BB37" i="15"/>
  <c r="BB36" i="15"/>
  <c r="BB35" i="15"/>
  <c r="BB34" i="15"/>
  <c r="BB33" i="15"/>
  <c r="BB32" i="15"/>
  <c r="BH38" i="15"/>
  <c r="BH37" i="15"/>
  <c r="BH36" i="15"/>
  <c r="BH35" i="15"/>
  <c r="BH34" i="15"/>
  <c r="BH33" i="15"/>
  <c r="BH32" i="15"/>
  <c r="BE38" i="15"/>
  <c r="BE37" i="15"/>
  <c r="BE36" i="15"/>
  <c r="BE35" i="15"/>
  <c r="BE34" i="15"/>
  <c r="BE33" i="15"/>
  <c r="BE32" i="15"/>
  <c r="BK38" i="15"/>
  <c r="BK37" i="15"/>
  <c r="BK36" i="15"/>
  <c r="BK35" i="15"/>
  <c r="BK34" i="15"/>
  <c r="BK33" i="15"/>
  <c r="BK32" i="15"/>
  <c r="BN38" i="15"/>
  <c r="BN37" i="15"/>
  <c r="BN36" i="15"/>
  <c r="BN35" i="15"/>
  <c r="BN34" i="15"/>
  <c r="BN33" i="15"/>
  <c r="BN32" i="15"/>
  <c r="BN28" i="15"/>
  <c r="BN27" i="15"/>
  <c r="BN26" i="15"/>
  <c r="BN25" i="15"/>
  <c r="BN24" i="15"/>
  <c r="BN23" i="15"/>
  <c r="BN22" i="15"/>
  <c r="BK28" i="15"/>
  <c r="BK27" i="15"/>
  <c r="BK26" i="15"/>
  <c r="BK25" i="15"/>
  <c r="BK24" i="15"/>
  <c r="BK23" i="15"/>
  <c r="BK22" i="15"/>
  <c r="BH28" i="15"/>
  <c r="BH27" i="15"/>
  <c r="BH26" i="15"/>
  <c r="BH25" i="15"/>
  <c r="BH24" i="15"/>
  <c r="BH23" i="15"/>
  <c r="BH22" i="15"/>
  <c r="BE28" i="15"/>
  <c r="BE27" i="15"/>
  <c r="BE26" i="15"/>
  <c r="BE25" i="15"/>
  <c r="BE24" i="15"/>
  <c r="BE23" i="15"/>
  <c r="BE22" i="15"/>
  <c r="BB28" i="15"/>
  <c r="BB27" i="15"/>
  <c r="BB26" i="15"/>
  <c r="BB25" i="15"/>
  <c r="BB24" i="15"/>
  <c r="BB23" i="15"/>
  <c r="BB22" i="15"/>
  <c r="AY28" i="15"/>
  <c r="AY27" i="15"/>
  <c r="AY26" i="15"/>
  <c r="AY25" i="15"/>
  <c r="AY24" i="15"/>
  <c r="AY23" i="15"/>
  <c r="AY22" i="15"/>
  <c r="AV28" i="15"/>
  <c r="AV27" i="15"/>
  <c r="AV26" i="15"/>
  <c r="AV25" i="15"/>
  <c r="AV24" i="15"/>
  <c r="AV22" i="15"/>
  <c r="AV23" i="15"/>
  <c r="AS28" i="15"/>
  <c r="AS27" i="15"/>
  <c r="AS26" i="15"/>
  <c r="AS25" i="15"/>
  <c r="AS24" i="15"/>
  <c r="AS23" i="15"/>
  <c r="AS22" i="15"/>
  <c r="AS18" i="15"/>
  <c r="AS17" i="15"/>
  <c r="AS16" i="15"/>
  <c r="AS15" i="15"/>
  <c r="AS14" i="15"/>
  <c r="AS13" i="15"/>
  <c r="AS12" i="15"/>
  <c r="AV18" i="15"/>
  <c r="AV17" i="15"/>
  <c r="AV16" i="15"/>
  <c r="AV15" i="15"/>
  <c r="AV14" i="15"/>
  <c r="AV13" i="15"/>
  <c r="AV12" i="15"/>
  <c r="AY18" i="15"/>
  <c r="AY17" i="15"/>
  <c r="AY16" i="15"/>
  <c r="AY15" i="15"/>
  <c r="AY14" i="15"/>
  <c r="AY13" i="15"/>
  <c r="AY12" i="15"/>
  <c r="BB18" i="15"/>
  <c r="BB17" i="15"/>
  <c r="BB16" i="15"/>
  <c r="BB15" i="15"/>
  <c r="BB14" i="15"/>
  <c r="BB13" i="15"/>
  <c r="BB12" i="15"/>
  <c r="BE18" i="15"/>
  <c r="BE17" i="15"/>
  <c r="BE16" i="15"/>
  <c r="BE15" i="15"/>
  <c r="BE14" i="15"/>
  <c r="BE13" i="15"/>
  <c r="BE12" i="15"/>
  <c r="BH18" i="15"/>
  <c r="BH17" i="15"/>
  <c r="BH16" i="15"/>
  <c r="BH15" i="15"/>
  <c r="BH14" i="15"/>
  <c r="BH13" i="15"/>
  <c r="BH12" i="15"/>
  <c r="BK18" i="15"/>
  <c r="BK17" i="15"/>
  <c r="BK16" i="15"/>
  <c r="BK15" i="15"/>
  <c r="BK14" i="15"/>
  <c r="BK13" i="15"/>
  <c r="BK12" i="15"/>
  <c r="BN18" i="15"/>
  <c r="BN17" i="15"/>
  <c r="BN16" i="15"/>
  <c r="BN15" i="15"/>
  <c r="BN14" i="15"/>
  <c r="BN13" i="15"/>
  <c r="BN12" i="15"/>
  <c r="BN8" i="15"/>
  <c r="BN7" i="15"/>
  <c r="BN6" i="15"/>
  <c r="BN5" i="15"/>
  <c r="BN4" i="15"/>
  <c r="BN3" i="15"/>
  <c r="BN2" i="15"/>
  <c r="BK8" i="15"/>
  <c r="BK7" i="15"/>
  <c r="BK6" i="15"/>
  <c r="BK5" i="15"/>
  <c r="BK4" i="15"/>
  <c r="BK3" i="15"/>
  <c r="BK2" i="15"/>
  <c r="BH8" i="15"/>
  <c r="BH7" i="15"/>
  <c r="BH6" i="15"/>
  <c r="BH5" i="15"/>
  <c r="BH4" i="15"/>
  <c r="BH3" i="15"/>
  <c r="BH2" i="15"/>
  <c r="BE8" i="15"/>
  <c r="BE7" i="15"/>
  <c r="BE6" i="15"/>
  <c r="BE5" i="15"/>
  <c r="BE4" i="15"/>
  <c r="BE3" i="15"/>
  <c r="BB8" i="15"/>
  <c r="BB7" i="15"/>
  <c r="BB6" i="15"/>
  <c r="BB5" i="15"/>
  <c r="BB4" i="15"/>
  <c r="BB3" i="15"/>
  <c r="BE2" i="15"/>
  <c r="BB2" i="15"/>
  <c r="AY8" i="15"/>
  <c r="AY7" i="15"/>
  <c r="AY6" i="15"/>
  <c r="AY5" i="15"/>
  <c r="AY4" i="15"/>
  <c r="AY3" i="15"/>
  <c r="AY2" i="15"/>
  <c r="AV8" i="15"/>
  <c r="AV7" i="15"/>
  <c r="AV6" i="15"/>
  <c r="AV5" i="15"/>
  <c r="AV4" i="15"/>
  <c r="AV3" i="15"/>
  <c r="AV2" i="15"/>
  <c r="AS8" i="15"/>
  <c r="AS7" i="15"/>
  <c r="AS6" i="15"/>
  <c r="AS5" i="15"/>
  <c r="AS4" i="15"/>
  <c r="AS3" i="15"/>
  <c r="AS2" i="15"/>
  <c r="BH119" i="11"/>
  <c r="BH118" i="11"/>
  <c r="BH117" i="11"/>
  <c r="BH116" i="11"/>
  <c r="BH115" i="11"/>
  <c r="BH114" i="11"/>
  <c r="BH113" i="11"/>
  <c r="BE119" i="11"/>
  <c r="BE118" i="11"/>
  <c r="BE117" i="11"/>
  <c r="BE116" i="11"/>
  <c r="BE115" i="11"/>
  <c r="BE114" i="11"/>
  <c r="BE113" i="11"/>
  <c r="BB119" i="11"/>
  <c r="BB118" i="11"/>
  <c r="BB117" i="11"/>
  <c r="BB116" i="11"/>
  <c r="BB115" i="11"/>
  <c r="BB114" i="11"/>
  <c r="BB113" i="11"/>
  <c r="AY119" i="11"/>
  <c r="AY118" i="11"/>
  <c r="AY117" i="11"/>
  <c r="AY116" i="11"/>
  <c r="AY115" i="11"/>
  <c r="AY114" i="11"/>
  <c r="AY113" i="11"/>
  <c r="AV119" i="11"/>
  <c r="AV118" i="11"/>
  <c r="AV117" i="11"/>
  <c r="AV116" i="11"/>
  <c r="AV115" i="11"/>
  <c r="AV114" i="11"/>
  <c r="AV113" i="11"/>
  <c r="BH109" i="11"/>
  <c r="BH108" i="11"/>
  <c r="BH107" i="11"/>
  <c r="BH106" i="11"/>
  <c r="BH105" i="11"/>
  <c r="BH104" i="11"/>
  <c r="BH103" i="11"/>
  <c r="BE109" i="11"/>
  <c r="BE108" i="11"/>
  <c r="BE107" i="11"/>
  <c r="BE106" i="11"/>
  <c r="BE105" i="11"/>
  <c r="BE104" i="11"/>
  <c r="BE103" i="11"/>
  <c r="BB109" i="11"/>
  <c r="BB108" i="11"/>
  <c r="BB107" i="11"/>
  <c r="BB106" i="11"/>
  <c r="BB105" i="11"/>
  <c r="BB104" i="11"/>
  <c r="BB103" i="11"/>
  <c r="AY109" i="11"/>
  <c r="AY108" i="11"/>
  <c r="AY107" i="11"/>
  <c r="AY106" i="11"/>
  <c r="AY105" i="11"/>
  <c r="AY104" i="11"/>
  <c r="AY103" i="11"/>
  <c r="AV109" i="11"/>
  <c r="AV108" i="11"/>
  <c r="AV106" i="11"/>
  <c r="AV107" i="11"/>
  <c r="AV105" i="11"/>
  <c r="AV104" i="11"/>
  <c r="AV103" i="11"/>
  <c r="BH99" i="11"/>
  <c r="BH98" i="11"/>
  <c r="BH97" i="11"/>
  <c r="BH96" i="11"/>
  <c r="BH95" i="11"/>
  <c r="BH94" i="11"/>
  <c r="BH93" i="11"/>
  <c r="BE99" i="11"/>
  <c r="BE98" i="11"/>
  <c r="BE97" i="11"/>
  <c r="BE96" i="11"/>
  <c r="BE95" i="11"/>
  <c r="BE94" i="11"/>
  <c r="BE93" i="11"/>
  <c r="BB99" i="11"/>
  <c r="BB98" i="11"/>
  <c r="BB97" i="11"/>
  <c r="BB96" i="11"/>
  <c r="BB95" i="11"/>
  <c r="BB94" i="11"/>
  <c r="BB93" i="11"/>
  <c r="AY99" i="11"/>
  <c r="AY98" i="11"/>
  <c r="AY97" i="11"/>
  <c r="AY96" i="11"/>
  <c r="AY95" i="11"/>
  <c r="AY94" i="11"/>
  <c r="AY93" i="11"/>
  <c r="AV99" i="11"/>
  <c r="AV98" i="11"/>
  <c r="AV97" i="11"/>
  <c r="AV96" i="11"/>
  <c r="AV95" i="11"/>
  <c r="AV94" i="11"/>
  <c r="AV93" i="11"/>
  <c r="BH89" i="11"/>
  <c r="BH88" i="11"/>
  <c r="BH87" i="11"/>
  <c r="BH86" i="11"/>
  <c r="BH85" i="11"/>
  <c r="BH84" i="11"/>
  <c r="BH83" i="11"/>
  <c r="BE89" i="11"/>
  <c r="BE88" i="11"/>
  <c r="BE87" i="11"/>
  <c r="BE86" i="11"/>
  <c r="BE85" i="11"/>
  <c r="BE84" i="11"/>
  <c r="BE83" i="11"/>
  <c r="BB89" i="11"/>
  <c r="BB88" i="11"/>
  <c r="BB87" i="11"/>
  <c r="BB86" i="11"/>
  <c r="BB85" i="11"/>
  <c r="BB84" i="11"/>
  <c r="BB83" i="11"/>
  <c r="AY89" i="11"/>
  <c r="AY88" i="11"/>
  <c r="AY87" i="11"/>
  <c r="AY86" i="11"/>
  <c r="AY85" i="11"/>
  <c r="AY84" i="11"/>
  <c r="AY83" i="11"/>
  <c r="AV89" i="11"/>
  <c r="AV88" i="11"/>
  <c r="AV87" i="11"/>
  <c r="AV86" i="11"/>
  <c r="AV85" i="11"/>
  <c r="AV84" i="11"/>
  <c r="AV83" i="11"/>
  <c r="BH79" i="11"/>
  <c r="BH78" i="11"/>
  <c r="BH77" i="11"/>
  <c r="BH76" i="11"/>
  <c r="BH75" i="11"/>
  <c r="BH74" i="11"/>
  <c r="BH73" i="11"/>
  <c r="BE79" i="11"/>
  <c r="BE78" i="11"/>
  <c r="BE77" i="11"/>
  <c r="BE76" i="11"/>
  <c r="BE75" i="11"/>
  <c r="BE74" i="11"/>
  <c r="BE73" i="11"/>
  <c r="BB79" i="11"/>
  <c r="BB78" i="11"/>
  <c r="BB77" i="11"/>
  <c r="BB76" i="11"/>
  <c r="BB75" i="11"/>
  <c r="BB74" i="11"/>
  <c r="BB73" i="11"/>
  <c r="AY79" i="11"/>
  <c r="AY78" i="11"/>
  <c r="AY77" i="11"/>
  <c r="AY76" i="11"/>
  <c r="AY75" i="11"/>
  <c r="AY74" i="11"/>
  <c r="AY73" i="11"/>
  <c r="AV79" i="11"/>
  <c r="AV78" i="11"/>
  <c r="AV77" i="11"/>
  <c r="AV76" i="11"/>
  <c r="AV75" i="11"/>
  <c r="AV74" i="11"/>
  <c r="AV73" i="11"/>
  <c r="BH69" i="11"/>
  <c r="BH68" i="11"/>
  <c r="BH67" i="11"/>
  <c r="BH66" i="11"/>
  <c r="BH65" i="11"/>
  <c r="BH64" i="11"/>
  <c r="BH63" i="11"/>
  <c r="BE69" i="11"/>
  <c r="BE68" i="11"/>
  <c r="BE67" i="11"/>
  <c r="BE66" i="11"/>
  <c r="BE65" i="11"/>
  <c r="BE64" i="11"/>
  <c r="BE63" i="11"/>
  <c r="BB69" i="11"/>
  <c r="BB68" i="11"/>
  <c r="BB67" i="11"/>
  <c r="BB66" i="11"/>
  <c r="BB65" i="11"/>
  <c r="BB64" i="11"/>
  <c r="BB63" i="11"/>
  <c r="AY69" i="11"/>
  <c r="AY68" i="11"/>
  <c r="AY67" i="11"/>
  <c r="AY66" i="11"/>
  <c r="AY65" i="11"/>
  <c r="AY64" i="11"/>
  <c r="AY63" i="11"/>
  <c r="AV69" i="11"/>
  <c r="AV68" i="11"/>
  <c r="AV67" i="11"/>
  <c r="AV66" i="11"/>
  <c r="AV65" i="11"/>
  <c r="AV64" i="11"/>
  <c r="AV63" i="11"/>
  <c r="BH59" i="11"/>
  <c r="BH58" i="11"/>
  <c r="BH57" i="11"/>
  <c r="BH56" i="11"/>
  <c r="BH55" i="11"/>
  <c r="BH54" i="11"/>
  <c r="BH53" i="11"/>
  <c r="BE59" i="11"/>
  <c r="BE58" i="11"/>
  <c r="BE57" i="11"/>
  <c r="BE56" i="11"/>
  <c r="BE55" i="11"/>
  <c r="BE54" i="11"/>
  <c r="BE53" i="11"/>
  <c r="BB59" i="11"/>
  <c r="BB58" i="11"/>
  <c r="BB57" i="11"/>
  <c r="BB56" i="11"/>
  <c r="BB55" i="11"/>
  <c r="BB54" i="11"/>
  <c r="BB53" i="11"/>
  <c r="BB49" i="11"/>
  <c r="BB48" i="11"/>
  <c r="BB47" i="11"/>
  <c r="BB46" i="11"/>
  <c r="BB45" i="11"/>
  <c r="BB44" i="11"/>
  <c r="BB43" i="11"/>
  <c r="AY59" i="11"/>
  <c r="AY58" i="11"/>
  <c r="AY57" i="11"/>
  <c r="AY56" i="11"/>
  <c r="AY55" i="11"/>
  <c r="AY54" i="11"/>
  <c r="AY53" i="11"/>
  <c r="AV59" i="11"/>
  <c r="AV58" i="11"/>
  <c r="AV57" i="11"/>
  <c r="AV56" i="11"/>
  <c r="AV55" i="11"/>
  <c r="AV54" i="11"/>
  <c r="AV53" i="11"/>
  <c r="BH49" i="11"/>
  <c r="BH48" i="11"/>
  <c r="BH47" i="11"/>
  <c r="BH46" i="11"/>
  <c r="BH45" i="11"/>
  <c r="BH44" i="11"/>
  <c r="BH43" i="11"/>
  <c r="BE49" i="11"/>
  <c r="BE48" i="11"/>
  <c r="BE47" i="11"/>
  <c r="BE46" i="11"/>
  <c r="BE45" i="11"/>
  <c r="BE44" i="11"/>
  <c r="BE43" i="11"/>
  <c r="AY49" i="11"/>
  <c r="AY48" i="11"/>
  <c r="AY47" i="11"/>
  <c r="AY46" i="11"/>
  <c r="AY45" i="11"/>
  <c r="AY44" i="11"/>
  <c r="AY43" i="11"/>
  <c r="AV49" i="11"/>
  <c r="AV48" i="11"/>
  <c r="AV47" i="11"/>
  <c r="AV46" i="11"/>
  <c r="AV45" i="11"/>
  <c r="AV44" i="11"/>
  <c r="AV43" i="11"/>
  <c r="BH39" i="11"/>
  <c r="BH38" i="11"/>
  <c r="BH37" i="11"/>
  <c r="BH36" i="11"/>
  <c r="BH35" i="11"/>
  <c r="BH34" i="11"/>
  <c r="BH33" i="11"/>
  <c r="BH29" i="11"/>
  <c r="BH28" i="11"/>
  <c r="BH27" i="11"/>
  <c r="BH26" i="11"/>
  <c r="BH25" i="11"/>
  <c r="BH24" i="11"/>
  <c r="BH23" i="11"/>
  <c r="BE39" i="11"/>
  <c r="BE38" i="11"/>
  <c r="BE37" i="11"/>
  <c r="BE36" i="11"/>
  <c r="BE35" i="11"/>
  <c r="BE34" i="11"/>
  <c r="BE33" i="11"/>
  <c r="BB39" i="11"/>
  <c r="BB38" i="11"/>
  <c r="BB37" i="11"/>
  <c r="BB36" i="11"/>
  <c r="BB35" i="11"/>
  <c r="BB34" i="11"/>
  <c r="BB33" i="11"/>
  <c r="AY39" i="11"/>
  <c r="AY38" i="11"/>
  <c r="AY37" i="11"/>
  <c r="AY36" i="11"/>
  <c r="AY35" i="11"/>
  <c r="AY34" i="11"/>
  <c r="AY33" i="11"/>
  <c r="AV39" i="11"/>
  <c r="AV38" i="11"/>
  <c r="AV37" i="11"/>
  <c r="AV36" i="11"/>
  <c r="AV35" i="11"/>
  <c r="AV34" i="11"/>
  <c r="AV33" i="11"/>
  <c r="BE29" i="11"/>
  <c r="BE28" i="11"/>
  <c r="BE27" i="11"/>
  <c r="BE26" i="11"/>
  <c r="BE25" i="11"/>
  <c r="BE24" i="11"/>
  <c r="BE23" i="11"/>
  <c r="BB29" i="11"/>
  <c r="BB28" i="11"/>
  <c r="BB27" i="11"/>
  <c r="BB26" i="11"/>
  <c r="BB25" i="11"/>
  <c r="BB24" i="11"/>
  <c r="BB23" i="11"/>
  <c r="AY29" i="11"/>
  <c r="AY28" i="11"/>
  <c r="AY27" i="11"/>
  <c r="AY26" i="11"/>
  <c r="AY25" i="11"/>
  <c r="AY24" i="11"/>
  <c r="AY23" i="11"/>
  <c r="AV29" i="11"/>
  <c r="AV28" i="11"/>
  <c r="AV27" i="11"/>
  <c r="AV26" i="11"/>
  <c r="AV25" i="11"/>
  <c r="AV24" i="11"/>
  <c r="AV23" i="11"/>
  <c r="BH18" i="11"/>
  <c r="BH19" i="11"/>
  <c r="BH17" i="11"/>
  <c r="BH16" i="11"/>
  <c r="BH15" i="11"/>
  <c r="BH14" i="11"/>
  <c r="BH13" i="11"/>
  <c r="BE19" i="11"/>
  <c r="BE18" i="11"/>
  <c r="BE17" i="11"/>
  <c r="BE16" i="11"/>
  <c r="BE15" i="11"/>
  <c r="BE14" i="11"/>
  <c r="BE13" i="11"/>
  <c r="BB19" i="11"/>
  <c r="BB18" i="11"/>
  <c r="BB17" i="11"/>
  <c r="BB16" i="11"/>
  <c r="BB15" i="11"/>
  <c r="BB14" i="11"/>
  <c r="BB13" i="11"/>
  <c r="AY19" i="11"/>
  <c r="AY18" i="11"/>
  <c r="AY17" i="11"/>
  <c r="AY16" i="11"/>
  <c r="AY15" i="11"/>
  <c r="AY14" i="11"/>
  <c r="AY13" i="11"/>
  <c r="AV19" i="11"/>
  <c r="AV18" i="11"/>
  <c r="AV17" i="11"/>
  <c r="AV16" i="11"/>
  <c r="AV15" i="11"/>
  <c r="AV14" i="11"/>
  <c r="AV13" i="11"/>
  <c r="BH9" i="11"/>
  <c r="BH8" i="11"/>
  <c r="BH7" i="11"/>
  <c r="BH6" i="11"/>
  <c r="BH5" i="11"/>
  <c r="BH4" i="11"/>
  <c r="BH3" i="11"/>
  <c r="BE9" i="11"/>
  <c r="BE8" i="11"/>
  <c r="BE7" i="11"/>
  <c r="BE6" i="11"/>
  <c r="BE5" i="11"/>
  <c r="BE4" i="11"/>
  <c r="BE3" i="11"/>
  <c r="BB9" i="11"/>
  <c r="BB8" i="11"/>
  <c r="BB7" i="11"/>
  <c r="BB6" i="11"/>
  <c r="BB5" i="11"/>
  <c r="BB4" i="11"/>
  <c r="BB3" i="11"/>
  <c r="AY9" i="11"/>
  <c r="AY8" i="11"/>
  <c r="AY7" i="11"/>
  <c r="AY6" i="11"/>
  <c r="AY5" i="11"/>
  <c r="AY4" i="11"/>
  <c r="AY3" i="11"/>
  <c r="AV9" i="11"/>
  <c r="AV8" i="11"/>
  <c r="AV7" i="11"/>
  <c r="AV6" i="11"/>
  <c r="AV5" i="11"/>
  <c r="AV4" i="11"/>
  <c r="AV3" i="11"/>
  <c r="AG119" i="14"/>
  <c r="AG118" i="14"/>
  <c r="AG117" i="14"/>
  <c r="AG116" i="14"/>
  <c r="AG115" i="14"/>
  <c r="AG114" i="14"/>
  <c r="AG113" i="14"/>
  <c r="AD119" i="14"/>
  <c r="AD118" i="14"/>
  <c r="AD117" i="14"/>
  <c r="AD116" i="14"/>
  <c r="AD115" i="14"/>
  <c r="AD114" i="14"/>
  <c r="AD113" i="14"/>
  <c r="AG109" i="14"/>
  <c r="AG108" i="14"/>
  <c r="AG107" i="14"/>
  <c r="AG106" i="14"/>
  <c r="AG105" i="14"/>
  <c r="AG104" i="14"/>
  <c r="AG103" i="14"/>
  <c r="AD109" i="14"/>
  <c r="AD108" i="14"/>
  <c r="AD107" i="14"/>
  <c r="AD106" i="14"/>
  <c r="AD105" i="14"/>
  <c r="AD104" i="14"/>
  <c r="AD103" i="14"/>
  <c r="AG99" i="14"/>
  <c r="AG98" i="14"/>
  <c r="AG97" i="14"/>
  <c r="AG96" i="14"/>
  <c r="AG95" i="14"/>
  <c r="AG94" i="14"/>
  <c r="AG93" i="14"/>
  <c r="AD99" i="14"/>
  <c r="AD98" i="14"/>
  <c r="AD97" i="14"/>
  <c r="AD96" i="14"/>
  <c r="AD95" i="14"/>
  <c r="AD94" i="14"/>
  <c r="AD93" i="14"/>
  <c r="AG89" i="14"/>
  <c r="AG88" i="14"/>
  <c r="AG87" i="14"/>
  <c r="AG86" i="14"/>
  <c r="AG85" i="14"/>
  <c r="AG84" i="14"/>
  <c r="AG83" i="14"/>
  <c r="AD89" i="14"/>
  <c r="AD88" i="14"/>
  <c r="AD87" i="14"/>
  <c r="AD86" i="14"/>
  <c r="AD85" i="14"/>
  <c r="AD84" i="14"/>
  <c r="AD83" i="14"/>
  <c r="AG79" i="14"/>
  <c r="AG78" i="14"/>
  <c r="AG77" i="14"/>
  <c r="AG76" i="14"/>
  <c r="AG75" i="14"/>
  <c r="AG74" i="14"/>
  <c r="AG73" i="14"/>
  <c r="AD79" i="14"/>
  <c r="AD78" i="14"/>
  <c r="AD77" i="14"/>
  <c r="AD76" i="14"/>
  <c r="AD75" i="14"/>
  <c r="AD74" i="14"/>
  <c r="AD73" i="14"/>
  <c r="AG69" i="14"/>
  <c r="AG68" i="14"/>
  <c r="AG67" i="14"/>
  <c r="AG66" i="14"/>
  <c r="AG65" i="14"/>
  <c r="AG64" i="14"/>
  <c r="AG63" i="14"/>
  <c r="AD69" i="14"/>
  <c r="AD68" i="14"/>
  <c r="AD67" i="14"/>
  <c r="AD66" i="14"/>
  <c r="AD65" i="14"/>
  <c r="AD64" i="14"/>
  <c r="AD63" i="14"/>
  <c r="AG53" i="14"/>
  <c r="AG59" i="14"/>
  <c r="AG58" i="14"/>
  <c r="AG57" i="14"/>
  <c r="AG56" i="14"/>
  <c r="AG55" i="14"/>
  <c r="AG54" i="14"/>
  <c r="AD53" i="14"/>
  <c r="AD59" i="14"/>
  <c r="AD58" i="14"/>
  <c r="AD57" i="14"/>
  <c r="AD56" i="14"/>
  <c r="AD55" i="14"/>
  <c r="AD54" i="14"/>
  <c r="AG49" i="14"/>
  <c r="AG48" i="14"/>
  <c r="AG47" i="14"/>
  <c r="AG46" i="14"/>
  <c r="AG45" i="14"/>
  <c r="AG44" i="14"/>
  <c r="AG43" i="14"/>
  <c r="AD49" i="14"/>
  <c r="AD48" i="14"/>
  <c r="AD47" i="14"/>
  <c r="AD46" i="14"/>
  <c r="AD45" i="14"/>
  <c r="AD44" i="14"/>
  <c r="AD43" i="14"/>
  <c r="AG39" i="14"/>
  <c r="AG38" i="14"/>
  <c r="AG37" i="14"/>
  <c r="AG36" i="14"/>
  <c r="AG35" i="14"/>
  <c r="AG34" i="14"/>
  <c r="AG33" i="14"/>
  <c r="AD39" i="14"/>
  <c r="AD38" i="14"/>
  <c r="AD37" i="14"/>
  <c r="AD36" i="14"/>
  <c r="AD35" i="14"/>
  <c r="AD34" i="14"/>
  <c r="AD33" i="14"/>
  <c r="AG29" i="14"/>
  <c r="AG28" i="14"/>
  <c r="AG27" i="14"/>
  <c r="AG26" i="14"/>
  <c r="AG25" i="14"/>
  <c r="AG24" i="14"/>
  <c r="AG23" i="14"/>
  <c r="AD23" i="14"/>
  <c r="AD29" i="14"/>
  <c r="AD28" i="14"/>
  <c r="AD27" i="14"/>
  <c r="AD26" i="14"/>
  <c r="AD25" i="14"/>
  <c r="AD24" i="14"/>
  <c r="AG19" i="14"/>
  <c r="AG18" i="14"/>
  <c r="AG17" i="14"/>
  <c r="AG16" i="14"/>
  <c r="AG15" i="14"/>
  <c r="AG14" i="14"/>
  <c r="AG13" i="14"/>
  <c r="AD19" i="14"/>
  <c r="AD18" i="14"/>
  <c r="AD17" i="14"/>
  <c r="AD16" i="14"/>
  <c r="AD15" i="14"/>
  <c r="AD14" i="14"/>
  <c r="AD13" i="14"/>
  <c r="AG9" i="14"/>
  <c r="AG8" i="14"/>
  <c r="AG7" i="14"/>
  <c r="AG6" i="14"/>
  <c r="AG5" i="14"/>
  <c r="AG4" i="14"/>
  <c r="AD9" i="14"/>
  <c r="AD8" i="14"/>
  <c r="AD7" i="14"/>
  <c r="AD6" i="14"/>
  <c r="AD5" i="14"/>
  <c r="AD4" i="14"/>
  <c r="AG3" i="14"/>
  <c r="AD3" i="14"/>
  <c r="U15" i="12"/>
  <c r="U14" i="12"/>
  <c r="U13" i="12"/>
  <c r="U12" i="12"/>
  <c r="U11" i="12"/>
  <c r="U10" i="12"/>
  <c r="U9" i="12"/>
  <c r="U8" i="12"/>
  <c r="U7" i="12"/>
  <c r="U6" i="12"/>
  <c r="U5" i="12"/>
  <c r="U4" i="12"/>
  <c r="AB118" i="6"/>
  <c r="AB117" i="6"/>
  <c r="AB116" i="6"/>
  <c r="AB115" i="6"/>
  <c r="AB114" i="6"/>
  <c r="AB113" i="6"/>
  <c r="AB112" i="6"/>
  <c r="AE118" i="6"/>
  <c r="AE117" i="6"/>
  <c r="AE116" i="6"/>
  <c r="AE115" i="6"/>
  <c r="AE114" i="6"/>
  <c r="AE113" i="6"/>
  <c r="AE112" i="6"/>
  <c r="AH112" i="6"/>
  <c r="AH118" i="6"/>
  <c r="AH117" i="6"/>
  <c r="AH116" i="6"/>
  <c r="AH115" i="6"/>
  <c r="AH114" i="6"/>
  <c r="AH113" i="6"/>
  <c r="AK112" i="6"/>
  <c r="AK118" i="6"/>
  <c r="AK117" i="6"/>
  <c r="AK116" i="6"/>
  <c r="AK115" i="6"/>
  <c r="AK114" i="6"/>
  <c r="AK113" i="6"/>
  <c r="AN118" i="6"/>
  <c r="AN117" i="6"/>
  <c r="AN116" i="6"/>
  <c r="AN115" i="6"/>
  <c r="AN114" i="6"/>
  <c r="AN113" i="6"/>
  <c r="AN112" i="6"/>
  <c r="AQ112" i="6"/>
  <c r="AQ118" i="6"/>
  <c r="AQ117" i="6"/>
  <c r="AQ116" i="6"/>
  <c r="AQ115" i="6"/>
  <c r="AQ114" i="6"/>
  <c r="AQ113" i="6"/>
  <c r="AT118" i="6"/>
  <c r="AT117" i="6"/>
  <c r="AT116" i="6"/>
  <c r="AT115" i="6"/>
  <c r="AT114" i="6"/>
  <c r="AT113" i="6"/>
  <c r="AT112" i="6"/>
  <c r="AW112" i="6"/>
  <c r="AW118" i="6"/>
  <c r="AW117" i="6"/>
  <c r="AW116" i="6"/>
  <c r="AW115" i="6"/>
  <c r="AW114" i="6"/>
  <c r="AW113" i="6"/>
  <c r="AZ118" i="6"/>
  <c r="AZ117" i="6"/>
  <c r="AZ116" i="6"/>
  <c r="AZ115" i="6"/>
  <c r="AZ114" i="6"/>
  <c r="AZ113" i="6"/>
  <c r="AZ112" i="6"/>
  <c r="BC118" i="6"/>
  <c r="BC117" i="6"/>
  <c r="BC116" i="6"/>
  <c r="BC115" i="6"/>
  <c r="BC114" i="6"/>
  <c r="BC113" i="6"/>
  <c r="BC112" i="6"/>
  <c r="BF118" i="6"/>
  <c r="BF117" i="6"/>
  <c r="BF116" i="6"/>
  <c r="BF115" i="6"/>
  <c r="BF114" i="6"/>
  <c r="BF113" i="6"/>
  <c r="BF112" i="6"/>
  <c r="BF108" i="6"/>
  <c r="BF107" i="6"/>
  <c r="BF106" i="6"/>
  <c r="BF105" i="6"/>
  <c r="BF104" i="6"/>
  <c r="BF103" i="6"/>
  <c r="BF102" i="6"/>
  <c r="BC103" i="6"/>
  <c r="BC108" i="6"/>
  <c r="BC107" i="6"/>
  <c r="BC106" i="6"/>
  <c r="BC105" i="6"/>
  <c r="BC104" i="6"/>
  <c r="BC102" i="6"/>
  <c r="AZ108" i="6"/>
  <c r="AZ107" i="6"/>
  <c r="AZ106" i="6"/>
  <c r="AZ105" i="6"/>
  <c r="AZ104" i="6"/>
  <c r="AZ103" i="6"/>
  <c r="AZ102" i="6"/>
  <c r="AW102" i="6"/>
  <c r="AW108" i="6"/>
  <c r="AW107" i="6"/>
  <c r="AW106" i="6"/>
  <c r="AW105" i="6"/>
  <c r="AW104" i="6"/>
  <c r="AW103" i="6"/>
  <c r="AT108" i="6"/>
  <c r="AT107" i="6"/>
  <c r="AT106" i="6"/>
  <c r="AT105" i="6"/>
  <c r="AT104" i="6"/>
  <c r="AT103" i="6"/>
  <c r="AT102" i="6"/>
  <c r="AQ108" i="6"/>
  <c r="AQ107" i="6"/>
  <c r="AQ106" i="6"/>
  <c r="AQ105" i="6"/>
  <c r="AQ104" i="6"/>
  <c r="AQ103" i="6"/>
  <c r="AQ102" i="6"/>
  <c r="AN102" i="6"/>
  <c r="AN108" i="6"/>
  <c r="AN107" i="6"/>
  <c r="AN106" i="6"/>
  <c r="AN105" i="6"/>
  <c r="AN104" i="6"/>
  <c r="AN103" i="6"/>
  <c r="AK108" i="6"/>
  <c r="AK107" i="6"/>
  <c r="AK106" i="6"/>
  <c r="AK105" i="6"/>
  <c r="AK104" i="6"/>
  <c r="AK103" i="6"/>
  <c r="AK102" i="6"/>
  <c r="AH108" i="6"/>
  <c r="AH107" i="6"/>
  <c r="AH106" i="6"/>
  <c r="AH105" i="6"/>
  <c r="AH104" i="6"/>
  <c r="AH103" i="6"/>
  <c r="AH102" i="6"/>
  <c r="AE108" i="6"/>
  <c r="AE107" i="6"/>
  <c r="AE106" i="6"/>
  <c r="AE105" i="6"/>
  <c r="AE104" i="6"/>
  <c r="AE103" i="6"/>
  <c r="AE102" i="6"/>
  <c r="AB108" i="6"/>
  <c r="AB98" i="6"/>
  <c r="AB107" i="6"/>
  <c r="AB106" i="6"/>
  <c r="AB105" i="6"/>
  <c r="AB104" i="6"/>
  <c r="AB103" i="6"/>
  <c r="AB102" i="6"/>
  <c r="AQ98" i="6"/>
  <c r="AQ97" i="6"/>
  <c r="AQ96" i="6"/>
  <c r="AQ95" i="6"/>
  <c r="AQ94" i="6"/>
  <c r="AQ93" i="6"/>
  <c r="AQ92" i="6"/>
  <c r="AB78" i="6"/>
  <c r="AB68" i="6"/>
  <c r="AB58" i="6"/>
  <c r="AB48" i="6"/>
  <c r="AB38" i="6"/>
  <c r="AB28" i="6"/>
  <c r="AB18" i="6"/>
  <c r="AB8" i="6"/>
  <c r="AB97" i="6"/>
  <c r="AB96" i="6"/>
  <c r="AB95" i="6"/>
  <c r="AB94" i="6"/>
  <c r="AB93" i="6"/>
  <c r="AB92" i="6"/>
  <c r="AE98" i="6"/>
  <c r="AE97" i="6"/>
  <c r="AE96" i="6"/>
  <c r="AE95" i="6"/>
  <c r="AE94" i="6"/>
  <c r="AE93" i="6"/>
  <c r="AE92" i="6"/>
  <c r="AH98" i="6"/>
  <c r="AH97" i="6"/>
  <c r="AH96" i="6"/>
  <c r="AH95" i="6"/>
  <c r="AH94" i="6"/>
  <c r="AH93" i="6"/>
  <c r="AH92" i="6"/>
  <c r="AK98" i="6"/>
  <c r="AK97" i="6"/>
  <c r="AK96" i="6"/>
  <c r="AK95" i="6"/>
  <c r="AK94" i="6"/>
  <c r="AK93" i="6"/>
  <c r="AK92" i="6"/>
  <c r="AN88" i="6"/>
  <c r="AN98" i="6"/>
  <c r="AN97" i="6"/>
  <c r="AN96" i="6"/>
  <c r="AN95" i="6"/>
  <c r="AN94" i="6"/>
  <c r="AN93" i="6"/>
  <c r="AN92" i="6"/>
  <c r="AT92" i="6"/>
  <c r="AT98" i="6"/>
  <c r="AT97" i="6"/>
  <c r="AT96" i="6"/>
  <c r="AT95" i="6"/>
  <c r="AT94" i="6"/>
  <c r="AT93" i="6"/>
  <c r="AW98" i="6"/>
  <c r="AW97" i="6"/>
  <c r="AW96" i="6"/>
  <c r="AW95" i="6"/>
  <c r="AW94" i="6"/>
  <c r="AW93" i="6"/>
  <c r="AW92" i="6"/>
  <c r="AZ98" i="6"/>
  <c r="AZ97" i="6"/>
  <c r="AZ96" i="6"/>
  <c r="AZ95" i="6"/>
  <c r="AZ94" i="6"/>
  <c r="AZ93" i="6"/>
  <c r="AZ92" i="6"/>
  <c r="BC98" i="6"/>
  <c r="BC97" i="6"/>
  <c r="BC96" i="6"/>
  <c r="BC95" i="6"/>
  <c r="BC94" i="6"/>
  <c r="BC93" i="6"/>
  <c r="BC92" i="6"/>
  <c r="BF98" i="6"/>
  <c r="BF97" i="6"/>
  <c r="BF96" i="6"/>
  <c r="BF95" i="6"/>
  <c r="BF94" i="6"/>
  <c r="BF93" i="6"/>
  <c r="BF92" i="6"/>
  <c r="BF88" i="6"/>
  <c r="BF87" i="6"/>
  <c r="BF86" i="6"/>
  <c r="BF85" i="6"/>
  <c r="BF84" i="6"/>
  <c r="BF83" i="6"/>
  <c r="BF82" i="6"/>
  <c r="BC82" i="6"/>
  <c r="BC88" i="6"/>
  <c r="BC87" i="6"/>
  <c r="BC86" i="6"/>
  <c r="BC85" i="6"/>
  <c r="BC84" i="6"/>
  <c r="BC83" i="6"/>
  <c r="AZ88" i="6"/>
  <c r="AZ87" i="6"/>
  <c r="AZ86" i="6"/>
  <c r="AZ85" i="6"/>
  <c r="AZ84" i="6"/>
  <c r="AZ83" i="6"/>
  <c r="AZ82" i="6"/>
  <c r="AW82" i="6"/>
  <c r="AW88" i="6"/>
  <c r="AW87" i="6"/>
  <c r="AW86" i="6"/>
  <c r="AW85" i="6"/>
  <c r="AW84" i="6"/>
  <c r="AW83" i="6"/>
  <c r="AT88" i="6"/>
  <c r="AT87" i="6"/>
  <c r="AT86" i="6"/>
  <c r="AT85" i="6"/>
  <c r="AT84" i="6"/>
  <c r="AT83" i="6"/>
  <c r="AT82" i="6"/>
  <c r="AQ88" i="6"/>
  <c r="AQ87" i="6"/>
  <c r="AQ86" i="6"/>
  <c r="AQ85" i="6"/>
  <c r="AQ84" i="6"/>
  <c r="AQ83" i="6"/>
  <c r="AQ82" i="6"/>
  <c r="AN87" i="6"/>
  <c r="AN86" i="6"/>
  <c r="AN85" i="6"/>
  <c r="AN84" i="6"/>
  <c r="AN83" i="6"/>
  <c r="AN82" i="6"/>
  <c r="AK88" i="6"/>
  <c r="AK87" i="6"/>
  <c r="AK86" i="6"/>
  <c r="AK85" i="6"/>
  <c r="AK84" i="6"/>
  <c r="AK83" i="6"/>
  <c r="AK82" i="6"/>
  <c r="AH88" i="6"/>
  <c r="AH87" i="6"/>
  <c r="AH86" i="6"/>
  <c r="AH85" i="6"/>
  <c r="AH84" i="6"/>
  <c r="AH83" i="6"/>
  <c r="AH82" i="6"/>
  <c r="AE88" i="6"/>
  <c r="AE87" i="6"/>
  <c r="AE86" i="6"/>
  <c r="AE85" i="6"/>
  <c r="AE84" i="6"/>
  <c r="AE83" i="6"/>
  <c r="AE82" i="6"/>
  <c r="AB88" i="6"/>
  <c r="AB87" i="6"/>
  <c r="AB86" i="6"/>
  <c r="AB85" i="6"/>
  <c r="AB84" i="6"/>
  <c r="AB83" i="6"/>
  <c r="AB82" i="6"/>
  <c r="AB77" i="6"/>
  <c r="AB76" i="6"/>
  <c r="AB75" i="6"/>
  <c r="AB74" i="6"/>
  <c r="AB73" i="6"/>
  <c r="AB72" i="6"/>
  <c r="AE78" i="6"/>
  <c r="AE77" i="6"/>
  <c r="AE76" i="6"/>
  <c r="AE75" i="6"/>
  <c r="AE74" i="6"/>
  <c r="AE73" i="6"/>
  <c r="AE72" i="6"/>
  <c r="AH72" i="6"/>
  <c r="AH78" i="6"/>
  <c r="AH77" i="6"/>
  <c r="AH76" i="6"/>
  <c r="AH75" i="6"/>
  <c r="AH74" i="6"/>
  <c r="AH73" i="6"/>
  <c r="AK78" i="6"/>
  <c r="AK77" i="6"/>
  <c r="AK76" i="6"/>
  <c r="AK75" i="6"/>
  <c r="AK74" i="6"/>
  <c r="AK73" i="6"/>
  <c r="AK72" i="6"/>
  <c r="AN72" i="6"/>
  <c r="AN78" i="6"/>
  <c r="AN77" i="6"/>
  <c r="AN76" i="6"/>
  <c r="AN75" i="6"/>
  <c r="AN74" i="6"/>
  <c r="AN73" i="6"/>
  <c r="AQ78" i="6"/>
  <c r="AQ77" i="6"/>
  <c r="AQ76" i="6"/>
  <c r="AQ75" i="6"/>
  <c r="AQ74" i="6"/>
  <c r="AQ73" i="6"/>
  <c r="AQ72" i="6"/>
  <c r="AQ68" i="6"/>
  <c r="AQ67" i="6"/>
  <c r="AQ66" i="6"/>
  <c r="AQ65" i="6"/>
  <c r="AQ64" i="6"/>
  <c r="AQ63" i="6"/>
  <c r="AQ62" i="6"/>
  <c r="AT78" i="6"/>
  <c r="AT77" i="6"/>
  <c r="AT76" i="6"/>
  <c r="AT75" i="6"/>
  <c r="AT74" i="6"/>
  <c r="AT73" i="6"/>
  <c r="AT72" i="6"/>
  <c r="AW78" i="6"/>
  <c r="AW77" i="6"/>
  <c r="AW76" i="6"/>
  <c r="AW75" i="6"/>
  <c r="AW74" i="6"/>
  <c r="AW73" i="6"/>
  <c r="AW72" i="6"/>
  <c r="AZ78" i="6"/>
  <c r="AZ77" i="6"/>
  <c r="AZ76" i="6"/>
  <c r="AZ75" i="6"/>
  <c r="AZ74" i="6"/>
  <c r="AZ73" i="6"/>
  <c r="AZ72" i="6"/>
  <c r="BC72" i="6"/>
  <c r="BC78" i="6"/>
  <c r="BC77" i="6"/>
  <c r="BC76" i="6"/>
  <c r="BC75" i="6"/>
  <c r="BC74" i="6"/>
  <c r="BC73" i="6"/>
  <c r="BF72" i="6"/>
  <c r="BF78" i="6"/>
  <c r="BF77" i="6"/>
  <c r="BF76" i="6"/>
  <c r="BF75" i="6"/>
  <c r="BF74" i="6"/>
  <c r="BF73" i="6"/>
  <c r="BF68" i="6"/>
  <c r="BF67" i="6"/>
  <c r="BF66" i="6"/>
  <c r="BF65" i="6"/>
  <c r="BF64" i="6"/>
  <c r="BF53" i="6"/>
  <c r="BF63" i="6"/>
  <c r="BF62" i="6"/>
  <c r="BC68" i="6"/>
  <c r="BC67" i="6"/>
  <c r="BC66" i="6"/>
  <c r="BC65" i="6"/>
  <c r="BC64" i="6"/>
  <c r="BC63" i="6"/>
  <c r="BC62" i="6"/>
  <c r="AZ68" i="6"/>
  <c r="AZ67" i="6"/>
  <c r="AZ66" i="6"/>
  <c r="AZ65" i="6"/>
  <c r="AZ64" i="6"/>
  <c r="AZ63" i="6"/>
  <c r="AZ62" i="6"/>
  <c r="AW68" i="6"/>
  <c r="AW67" i="6"/>
  <c r="AW66" i="6"/>
  <c r="AW65" i="6"/>
  <c r="AW64" i="6"/>
  <c r="AW63" i="6"/>
  <c r="AW62" i="6"/>
  <c r="AT68" i="6"/>
  <c r="AT67" i="6"/>
  <c r="AT66" i="6"/>
  <c r="AT65" i="6"/>
  <c r="AT64" i="6"/>
  <c r="AT63" i="6"/>
  <c r="AT62" i="6"/>
  <c r="AN68" i="6"/>
  <c r="AN67" i="6"/>
  <c r="AN66" i="6"/>
  <c r="AN65" i="6"/>
  <c r="AN64" i="6"/>
  <c r="AN63" i="6"/>
  <c r="AN62" i="6"/>
  <c r="AK68" i="6"/>
  <c r="AK67" i="6"/>
  <c r="AK66" i="6"/>
  <c r="AK65" i="6"/>
  <c r="AK64" i="6"/>
  <c r="AK63" i="6"/>
  <c r="AK62" i="6"/>
  <c r="AH62" i="6"/>
  <c r="AH68" i="6"/>
  <c r="AH67" i="6"/>
  <c r="AH66" i="6"/>
  <c r="AH65" i="6"/>
  <c r="AH64" i="6"/>
  <c r="AH63" i="6"/>
  <c r="AE68" i="6"/>
  <c r="AE67" i="6"/>
  <c r="AE66" i="6"/>
  <c r="AE65" i="6"/>
  <c r="AE64" i="6"/>
  <c r="AE63" i="6"/>
  <c r="AE62" i="6"/>
  <c r="AB67" i="6"/>
  <c r="AB66" i="6"/>
  <c r="AB65" i="6"/>
  <c r="AB64" i="6"/>
  <c r="AB63" i="6"/>
  <c r="AB62" i="6"/>
  <c r="AE52" i="6"/>
  <c r="AE58" i="6"/>
  <c r="AE57" i="6"/>
  <c r="AE56" i="6"/>
  <c r="AE55" i="6"/>
  <c r="AE54" i="6"/>
  <c r="AE53" i="6"/>
  <c r="AB57" i="6"/>
  <c r="AB56" i="6"/>
  <c r="AB55" i="6"/>
  <c r="AB54" i="6"/>
  <c r="AB53" i="6"/>
  <c r="AB52" i="6"/>
  <c r="AH58" i="6"/>
  <c r="AH57" i="6"/>
  <c r="AH56" i="6"/>
  <c r="AH55" i="6"/>
  <c r="AH54" i="6"/>
  <c r="AH53" i="6"/>
  <c r="AH52" i="6"/>
  <c r="AK52" i="6"/>
  <c r="AK58" i="6"/>
  <c r="AK57" i="6"/>
  <c r="AK56" i="6"/>
  <c r="AK55" i="6"/>
  <c r="AK54" i="6"/>
  <c r="AK53" i="6"/>
  <c r="AN52" i="6"/>
  <c r="AN58" i="6"/>
  <c r="AN57" i="6"/>
  <c r="AN56" i="6"/>
  <c r="AN55" i="6"/>
  <c r="AN54" i="6"/>
  <c r="AN53" i="6"/>
  <c r="AQ58" i="6"/>
  <c r="AQ57" i="6"/>
  <c r="AQ56" i="6"/>
  <c r="AQ55" i="6"/>
  <c r="AQ54" i="6"/>
  <c r="AQ53" i="6"/>
  <c r="AQ52" i="6"/>
  <c r="AT58" i="6"/>
  <c r="AT57" i="6"/>
  <c r="AT56" i="6"/>
  <c r="AT55" i="6"/>
  <c r="AT54" i="6"/>
  <c r="AT53" i="6"/>
  <c r="AT52" i="6"/>
  <c r="AW52" i="6"/>
  <c r="AW58" i="6"/>
  <c r="AW57" i="6"/>
  <c r="AW56" i="6"/>
  <c r="AW55" i="6"/>
  <c r="AW54" i="6"/>
  <c r="AW53" i="6"/>
  <c r="AZ58" i="6"/>
  <c r="AZ57" i="6"/>
  <c r="AZ56" i="6"/>
  <c r="AZ55" i="6"/>
  <c r="AZ54" i="6"/>
  <c r="AZ53" i="6"/>
  <c r="AZ52" i="6"/>
  <c r="BC52" i="6"/>
  <c r="BC58" i="6"/>
  <c r="BC57" i="6"/>
  <c r="BC56" i="6"/>
  <c r="BC55" i="6"/>
  <c r="BC54" i="6"/>
  <c r="BC53" i="6"/>
  <c r="BF58" i="6"/>
  <c r="BF57" i="6"/>
  <c r="BF56" i="6"/>
  <c r="BF55" i="6"/>
  <c r="BF54" i="6"/>
  <c r="BF52" i="6"/>
  <c r="BF44" i="6"/>
  <c r="BF42" i="6"/>
  <c r="BF48" i="6"/>
  <c r="BF47" i="6"/>
  <c r="BF46" i="6"/>
  <c r="BF45" i="6"/>
  <c r="BF43" i="6"/>
  <c r="BC42" i="6"/>
  <c r="BC48" i="6"/>
  <c r="BC47" i="6"/>
  <c r="BC46" i="6"/>
  <c r="BC45" i="6"/>
  <c r="BC44" i="6"/>
  <c r="BC43" i="6"/>
  <c r="AZ48" i="6"/>
  <c r="AZ47" i="6"/>
  <c r="AZ46" i="6"/>
  <c r="AZ45" i="6"/>
  <c r="AZ44" i="6"/>
  <c r="AZ43" i="6"/>
  <c r="AZ42" i="6"/>
  <c r="AW48" i="6"/>
  <c r="AW47" i="6"/>
  <c r="AW46" i="6"/>
  <c r="AW45" i="6"/>
  <c r="AW44" i="6"/>
  <c r="AW43" i="6"/>
  <c r="AW42" i="6"/>
  <c r="AT48" i="6"/>
  <c r="AT47" i="6"/>
  <c r="AT46" i="6"/>
  <c r="AT45" i="6"/>
  <c r="AT44" i="6"/>
  <c r="AT43" i="6"/>
  <c r="AT42" i="6"/>
  <c r="AQ48" i="6"/>
  <c r="AQ47" i="6"/>
  <c r="AQ46" i="6"/>
  <c r="AQ45" i="6"/>
  <c r="AQ44" i="6"/>
  <c r="AQ43" i="6"/>
  <c r="AQ42" i="6"/>
  <c r="AN48" i="6"/>
  <c r="AN47" i="6"/>
  <c r="AN46" i="6"/>
  <c r="AN45" i="6"/>
  <c r="AN44" i="6"/>
  <c r="AN43" i="6"/>
  <c r="AN42" i="6"/>
  <c r="AK42" i="6"/>
  <c r="AK48" i="6"/>
  <c r="AK47" i="6"/>
  <c r="AK46" i="6"/>
  <c r="AK45" i="6"/>
  <c r="AK44" i="6"/>
  <c r="AK43" i="6"/>
  <c r="AH42" i="6"/>
  <c r="AH48" i="6"/>
  <c r="AH47" i="6"/>
  <c r="AH46" i="6"/>
  <c r="AH45" i="6"/>
  <c r="AH44" i="6"/>
  <c r="AH43" i="6"/>
  <c r="AE48" i="6"/>
  <c r="AE47" i="6"/>
  <c r="AE46" i="6"/>
  <c r="AE45" i="6"/>
  <c r="AE44" i="6"/>
  <c r="AE43" i="6"/>
  <c r="AE42" i="6"/>
  <c r="AB47" i="6"/>
  <c r="AB46" i="6"/>
  <c r="AB45" i="6"/>
  <c r="AB44" i="6"/>
  <c r="AB43" i="6"/>
  <c r="AB42" i="6"/>
  <c r="AB37" i="6"/>
  <c r="AB36" i="6"/>
  <c r="AB35" i="6"/>
  <c r="AB34" i="6"/>
  <c r="AB33" i="6"/>
  <c r="AB32" i="6"/>
  <c r="AE32" i="6"/>
  <c r="AE38" i="6"/>
  <c r="AE37" i="6"/>
  <c r="AE36" i="6"/>
  <c r="AE35" i="6"/>
  <c r="AE34" i="6"/>
  <c r="AE33" i="6"/>
  <c r="AH32" i="6"/>
  <c r="AH38" i="6"/>
  <c r="AH37" i="6"/>
  <c r="AH36" i="6"/>
  <c r="AH35" i="6"/>
  <c r="AH34" i="6"/>
  <c r="AH33" i="6"/>
  <c r="AK38" i="6"/>
  <c r="AK37" i="6"/>
  <c r="AK36" i="6"/>
  <c r="AK35" i="6"/>
  <c r="AK34" i="6"/>
  <c r="AK33" i="6"/>
  <c r="AK32" i="6"/>
  <c r="AN38" i="6"/>
  <c r="AN37" i="6"/>
  <c r="AN36" i="6"/>
  <c r="AN35" i="6"/>
  <c r="AN34" i="6"/>
  <c r="AN33" i="6"/>
  <c r="AN32" i="6"/>
  <c r="AQ38" i="6"/>
  <c r="AQ37" i="6"/>
  <c r="AQ36" i="6"/>
  <c r="AQ35" i="6"/>
  <c r="AQ34" i="6"/>
  <c r="AQ33" i="6"/>
  <c r="AQ32" i="6"/>
  <c r="AT38" i="6"/>
  <c r="AT37" i="6"/>
  <c r="AT36" i="6"/>
  <c r="AT35" i="6"/>
  <c r="AT34" i="6"/>
  <c r="AT33" i="6"/>
  <c r="AT32" i="6"/>
  <c r="AW38" i="6"/>
  <c r="AW37" i="6"/>
  <c r="AW36" i="6"/>
  <c r="AW35" i="6"/>
  <c r="AW34" i="6"/>
  <c r="AW33" i="6"/>
  <c r="AW32" i="6"/>
  <c r="AZ38" i="6"/>
  <c r="AZ37" i="6"/>
  <c r="AZ36" i="6"/>
  <c r="AZ35" i="6"/>
  <c r="AZ34" i="6"/>
  <c r="AZ33" i="6"/>
  <c r="AZ32" i="6"/>
  <c r="BC38" i="6"/>
  <c r="BC37" i="6"/>
  <c r="BC36" i="6"/>
  <c r="BC35" i="6"/>
  <c r="BC34" i="6"/>
  <c r="BC33" i="6"/>
  <c r="BC32" i="6"/>
  <c r="BF38" i="6"/>
  <c r="BF37" i="6"/>
  <c r="BF36" i="6"/>
  <c r="BF35" i="6"/>
  <c r="BF34" i="6"/>
  <c r="BF33" i="6"/>
  <c r="BF32" i="6"/>
  <c r="BF28" i="6"/>
  <c r="BF27" i="6"/>
  <c r="BF26" i="6"/>
  <c r="BF25" i="6"/>
  <c r="BF24" i="6"/>
  <c r="BF23" i="6"/>
  <c r="BF22" i="6"/>
  <c r="BC28" i="6"/>
  <c r="BC27" i="6"/>
  <c r="BC26" i="6"/>
  <c r="BC25" i="6"/>
  <c r="BC24" i="6"/>
  <c r="BC23" i="6"/>
  <c r="BC22" i="6"/>
  <c r="AZ28" i="6"/>
  <c r="AZ27" i="6"/>
  <c r="AZ26" i="6"/>
  <c r="AZ25" i="6"/>
  <c r="AZ24" i="6"/>
  <c r="AZ23" i="6"/>
  <c r="AZ22" i="6"/>
  <c r="AW28" i="6"/>
  <c r="AW27" i="6"/>
  <c r="AW26" i="6"/>
  <c r="AW25" i="6"/>
  <c r="AW24" i="6"/>
  <c r="AW23" i="6"/>
  <c r="AW22" i="6"/>
  <c r="AT28" i="6"/>
  <c r="AT27" i="6"/>
  <c r="AT26" i="6"/>
  <c r="AT25" i="6"/>
  <c r="AT24" i="6"/>
  <c r="AT23" i="6"/>
  <c r="AT22" i="6"/>
  <c r="AT18" i="6"/>
  <c r="AT17" i="6"/>
  <c r="AT16" i="6"/>
  <c r="AT15" i="6"/>
  <c r="AT14" i="6"/>
  <c r="AT13" i="6"/>
  <c r="AT12" i="6"/>
  <c r="AQ28" i="6"/>
  <c r="AQ27" i="6"/>
  <c r="AQ26" i="6"/>
  <c r="AQ25" i="6"/>
  <c r="AQ24" i="6"/>
  <c r="AQ23" i="6"/>
  <c r="AQ22" i="6"/>
  <c r="AN28" i="6"/>
  <c r="AN27" i="6"/>
  <c r="AN26" i="6"/>
  <c r="AN25" i="6"/>
  <c r="AN24" i="6"/>
  <c r="AN23" i="6"/>
  <c r="AN22" i="6"/>
  <c r="AK28" i="6"/>
  <c r="AK27" i="6"/>
  <c r="AK26" i="6"/>
  <c r="AK25" i="6"/>
  <c r="AK24" i="6"/>
  <c r="AK23" i="6"/>
  <c r="AK22" i="6"/>
  <c r="AH28" i="6"/>
  <c r="AH27" i="6"/>
  <c r="AH26" i="6"/>
  <c r="AH25" i="6"/>
  <c r="AH24" i="6"/>
  <c r="AH23" i="6"/>
  <c r="AH22" i="6"/>
  <c r="AE28" i="6"/>
  <c r="AE27" i="6"/>
  <c r="AE26" i="6"/>
  <c r="AE25" i="6"/>
  <c r="AE24" i="6"/>
  <c r="AE23" i="6"/>
  <c r="AE22" i="6"/>
  <c r="AB27" i="6"/>
  <c r="AB26" i="6"/>
  <c r="AB25" i="6"/>
  <c r="AB24" i="6"/>
  <c r="AB23" i="6"/>
  <c r="AB22" i="6"/>
  <c r="BF18" i="6"/>
  <c r="BF17" i="6"/>
  <c r="BF16" i="6"/>
  <c r="BF15" i="6"/>
  <c r="BF14" i="6"/>
  <c r="BF13" i="6"/>
  <c r="BF12" i="6"/>
  <c r="BC18" i="6"/>
  <c r="BC17" i="6"/>
  <c r="BC16" i="6"/>
  <c r="BC15" i="6"/>
  <c r="BC14" i="6"/>
  <c r="BC13" i="6"/>
  <c r="BC12" i="6"/>
  <c r="AZ18" i="6"/>
  <c r="AZ17" i="6"/>
  <c r="AZ16" i="6"/>
  <c r="AZ15" i="6"/>
  <c r="AZ14" i="6"/>
  <c r="AZ13" i="6"/>
  <c r="AZ12" i="6"/>
  <c r="AW18" i="6"/>
  <c r="AW17" i="6"/>
  <c r="AW16" i="6"/>
  <c r="AW15" i="6"/>
  <c r="AW14" i="6"/>
  <c r="AW13" i="6"/>
  <c r="AW12" i="6"/>
  <c r="AQ18" i="6"/>
  <c r="AQ17" i="6"/>
  <c r="AQ16" i="6"/>
  <c r="AQ15" i="6"/>
  <c r="AQ14" i="6"/>
  <c r="AQ13" i="6"/>
  <c r="AQ12" i="6"/>
  <c r="AN18" i="6"/>
  <c r="AN17" i="6"/>
  <c r="AN16" i="6"/>
  <c r="AN15" i="6"/>
  <c r="AN14" i="6"/>
  <c r="AN13" i="6"/>
  <c r="AN12" i="6"/>
  <c r="AK18" i="6"/>
  <c r="AK17" i="6"/>
  <c r="AK16" i="6"/>
  <c r="AK15" i="6"/>
  <c r="AK14" i="6"/>
  <c r="AK13" i="6"/>
  <c r="AK12" i="6"/>
  <c r="AH18" i="6"/>
  <c r="AH17" i="6"/>
  <c r="AH16" i="6"/>
  <c r="AH15" i="6"/>
  <c r="AH14" i="6"/>
  <c r="AH13" i="6"/>
  <c r="AH12" i="6"/>
  <c r="AE18" i="6"/>
  <c r="AE17" i="6"/>
  <c r="AE16" i="6"/>
  <c r="AE15" i="6"/>
  <c r="AE14" i="6"/>
  <c r="AE13" i="6"/>
  <c r="AE12" i="6"/>
  <c r="AB17" i="6"/>
  <c r="AB16" i="6"/>
  <c r="AB15" i="6"/>
  <c r="AB14" i="6"/>
  <c r="AB13" i="6"/>
  <c r="AB12" i="6"/>
  <c r="BF8" i="6"/>
  <c r="BF7" i="6"/>
  <c r="BF6" i="6"/>
  <c r="BF5" i="6"/>
  <c r="BF4" i="6"/>
  <c r="BF3" i="6"/>
  <c r="BF2" i="6"/>
  <c r="BC8" i="6"/>
  <c r="BC7" i="6"/>
  <c r="BC6" i="6"/>
  <c r="BC5" i="6"/>
  <c r="BC4" i="6"/>
  <c r="BC3" i="6"/>
  <c r="BC2" i="6"/>
  <c r="AZ8" i="6"/>
  <c r="AZ7" i="6"/>
  <c r="AZ6" i="6"/>
  <c r="AZ5" i="6"/>
  <c r="AZ4" i="6"/>
  <c r="AZ3" i="6"/>
  <c r="AZ2" i="6"/>
  <c r="AW8" i="6"/>
  <c r="AW7" i="6"/>
  <c r="AW6" i="6"/>
  <c r="AW5" i="6"/>
  <c r="AW4" i="6"/>
  <c r="AW3" i="6"/>
  <c r="AW2" i="6"/>
  <c r="AT8" i="6"/>
  <c r="AT7" i="6"/>
  <c r="AT6" i="6"/>
  <c r="AT5" i="6"/>
  <c r="AT4" i="6"/>
  <c r="AT3" i="6"/>
  <c r="AT2" i="6"/>
  <c r="AQ8" i="6"/>
  <c r="AQ7" i="6"/>
  <c r="AQ6" i="6"/>
  <c r="AQ5" i="6"/>
  <c r="AQ4" i="6"/>
  <c r="AQ3" i="6"/>
  <c r="AQ2" i="6"/>
  <c r="AN8" i="6"/>
  <c r="AN7" i="6"/>
  <c r="AN6" i="6"/>
  <c r="AN5" i="6"/>
  <c r="AN4" i="6"/>
  <c r="AN3" i="6"/>
  <c r="AN2" i="6"/>
  <c r="AK7" i="6"/>
  <c r="AK6" i="6"/>
  <c r="AK5" i="6"/>
  <c r="AK4" i="6"/>
  <c r="AK3" i="6"/>
  <c r="AK8" i="6"/>
  <c r="AK2" i="6"/>
  <c r="AH8" i="6"/>
  <c r="AH7" i="6"/>
  <c r="AH6" i="6"/>
  <c r="AH5" i="6"/>
  <c r="AH4" i="6"/>
  <c r="AH3" i="6"/>
  <c r="AH2" i="6"/>
  <c r="AE8" i="6"/>
  <c r="AE7" i="6"/>
  <c r="AE6" i="6"/>
  <c r="AE5" i="6"/>
  <c r="AE4" i="6"/>
  <c r="AE3" i="6"/>
  <c r="AE2" i="6"/>
  <c r="AB7" i="6"/>
  <c r="AB6" i="6"/>
  <c r="AB5" i="6"/>
  <c r="AB4" i="6"/>
  <c r="AB3" i="6"/>
  <c r="AB2" i="6"/>
  <c r="BB79" i="15" l="1"/>
  <c r="BN79" i="15"/>
  <c r="BB89" i="15"/>
  <c r="BB90" i="15" s="1"/>
  <c r="AS89" i="16"/>
  <c r="AP109" i="16"/>
  <c r="BH39" i="15"/>
  <c r="BB59" i="15"/>
  <c r="BB60" i="15" s="1"/>
  <c r="BN59" i="15"/>
  <c r="BN60" i="15" s="1"/>
  <c r="BB69" i="15"/>
  <c r="AG40" i="14"/>
  <c r="AG80" i="14"/>
  <c r="AV80" i="11"/>
  <c r="AV81" i="11" s="1"/>
  <c r="BH80" i="11"/>
  <c r="BH81" i="11" s="1"/>
  <c r="BE90" i="11"/>
  <c r="BB100" i="11"/>
  <c r="AQ69" i="6"/>
  <c r="AQ70" i="6" s="1"/>
  <c r="AD10" i="14"/>
  <c r="AD50" i="14"/>
  <c r="AD51" i="14" s="1"/>
  <c r="BE20" i="11"/>
  <c r="BB30" i="11"/>
  <c r="BB31" i="11" s="1"/>
  <c r="BB40" i="11"/>
  <c r="BB41" i="11" s="1"/>
  <c r="AY80" i="11"/>
  <c r="BE100" i="11"/>
  <c r="AY120" i="11"/>
  <c r="AY121" i="11" s="1"/>
  <c r="BE29" i="15"/>
  <c r="BE30" i="15" s="1"/>
  <c r="AS119" i="15"/>
  <c r="AS120" i="15" s="1"/>
  <c r="AP89" i="16"/>
  <c r="BC19" i="6"/>
  <c r="BC20" i="6" s="1"/>
  <c r="AD40" i="14"/>
  <c r="AD41" i="14" s="1"/>
  <c r="AD80" i="14"/>
  <c r="AD81" i="14" s="1"/>
  <c r="AV70" i="11"/>
  <c r="AV71" i="11" s="1"/>
  <c r="BE80" i="11"/>
  <c r="BE81" i="11" s="1"/>
  <c r="BH19" i="15"/>
  <c r="AY29" i="15"/>
  <c r="AY30" i="15" s="1"/>
  <c r="BK29" i="15"/>
  <c r="BK30" i="15" s="1"/>
  <c r="BE39" i="15"/>
  <c r="BE40" i="15" s="1"/>
  <c r="AS49" i="15"/>
  <c r="BK49" i="15"/>
  <c r="BK50" i="15" s="1"/>
  <c r="BK59" i="15"/>
  <c r="BK60" i="15" s="1"/>
  <c r="AY69" i="15"/>
  <c r="AY70" i="15" s="1"/>
  <c r="AY79" i="15"/>
  <c r="AY80" i="15" s="1"/>
  <c r="BK79" i="15"/>
  <c r="BK80" i="15" s="1"/>
  <c r="BK89" i="15"/>
  <c r="BK90" i="15" s="1"/>
  <c r="BK109" i="15"/>
  <c r="BK110" i="15" s="1"/>
  <c r="AJ9" i="16"/>
  <c r="AJ10" i="16" s="1"/>
  <c r="AJ49" i="16"/>
  <c r="AJ50" i="16" s="1"/>
  <c r="AP69" i="16"/>
  <c r="AG70" i="14"/>
  <c r="AG71" i="14" s="1"/>
  <c r="BE70" i="11"/>
  <c r="BB110" i="11"/>
  <c r="BK39" i="15"/>
  <c r="BK40" i="15" s="1"/>
  <c r="AY39" i="15"/>
  <c r="AY40" i="15" s="1"/>
  <c r="BH49" i="15"/>
  <c r="AV59" i="15"/>
  <c r="AV60" i="15" s="1"/>
  <c r="BH59" i="15"/>
  <c r="BH60" i="15" s="1"/>
  <c r="AV69" i="15"/>
  <c r="AV70" i="15" s="1"/>
  <c r="BH69" i="15"/>
  <c r="BH70" i="15" s="1"/>
  <c r="AV79" i="15"/>
  <c r="BH79" i="15"/>
  <c r="BH80" i="15" s="1"/>
  <c r="BH89" i="15"/>
  <c r="BH90" i="15" s="1"/>
  <c r="AV109" i="15"/>
  <c r="AV110" i="15" s="1"/>
  <c r="BH109" i="15"/>
  <c r="BE49" i="15"/>
  <c r="BE50" i="15" s="1"/>
  <c r="BE59" i="15"/>
  <c r="BE60" i="15" s="1"/>
  <c r="BE69" i="15"/>
  <c r="AV89" i="15"/>
  <c r="AV90" i="15" s="1"/>
  <c r="BE89" i="15"/>
  <c r="BE90" i="15" s="1"/>
  <c r="AV29" i="16"/>
  <c r="AV30" i="16" s="1"/>
  <c r="AM59" i="16"/>
  <c r="AM60" i="16" s="1"/>
  <c r="AJ69" i="16"/>
  <c r="AH19" i="6"/>
  <c r="AH20" i="6" s="1"/>
  <c r="AV119" i="16"/>
  <c r="AV120" i="16" s="1"/>
  <c r="AP119" i="16"/>
  <c r="AP120" i="16" s="1"/>
  <c r="AM119" i="16"/>
  <c r="AM120" i="16" s="1"/>
  <c r="AJ119" i="16"/>
  <c r="AJ120" i="16" s="1"/>
  <c r="AS119" i="16"/>
  <c r="AS120" i="16" s="1"/>
  <c r="AV109" i="16"/>
  <c r="AV110" i="16" s="1"/>
  <c r="AS110" i="16"/>
  <c r="AP110" i="16"/>
  <c r="AM109" i="16"/>
  <c r="AM110" i="16" s="1"/>
  <c r="AJ109" i="16"/>
  <c r="AJ110" i="16" s="1"/>
  <c r="AV99" i="16"/>
  <c r="AV100" i="16" s="1"/>
  <c r="AS99" i="16"/>
  <c r="AS100" i="16" s="1"/>
  <c r="AP99" i="16"/>
  <c r="AP100" i="16" s="1"/>
  <c r="AM99" i="16"/>
  <c r="AM100" i="16" s="1"/>
  <c r="AJ99" i="16"/>
  <c r="AJ100" i="16" s="1"/>
  <c r="AV89" i="16"/>
  <c r="AV90" i="16" s="1"/>
  <c r="AS90" i="16"/>
  <c r="AP90" i="16"/>
  <c r="AM89" i="16"/>
  <c r="AM90" i="16" s="1"/>
  <c r="AJ89" i="16"/>
  <c r="AJ90" i="16" s="1"/>
  <c r="AV79" i="16"/>
  <c r="AV80" i="16" s="1"/>
  <c r="AS79" i="16"/>
  <c r="AS80" i="16" s="1"/>
  <c r="AP79" i="16"/>
  <c r="AP80" i="16" s="1"/>
  <c r="AM79" i="16"/>
  <c r="AM80" i="16" s="1"/>
  <c r="AJ79" i="16"/>
  <c r="AJ80" i="16" s="1"/>
  <c r="AS29" i="16"/>
  <c r="AS30" i="16" s="1"/>
  <c r="AJ59" i="16"/>
  <c r="AJ60" i="16" s="1"/>
  <c r="AV69" i="16"/>
  <c r="AV70" i="16" s="1"/>
  <c r="AS69" i="16"/>
  <c r="AS70" i="16" s="1"/>
  <c r="AM69" i="16"/>
  <c r="AM70" i="16" s="1"/>
  <c r="AJ70" i="16"/>
  <c r="AP70" i="16"/>
  <c r="AS59" i="16"/>
  <c r="AS60" i="16" s="1"/>
  <c r="AD11" i="14"/>
  <c r="AV10" i="11"/>
  <c r="BB20" i="11"/>
  <c r="BB21" i="11" s="1"/>
  <c r="AY30" i="11"/>
  <c r="AY31" i="11" s="1"/>
  <c r="BH40" i="11"/>
  <c r="BH41" i="11" s="1"/>
  <c r="AH9" i="6"/>
  <c r="AH10" i="6" s="1"/>
  <c r="AT9" i="6"/>
  <c r="AT10" i="6" s="1"/>
  <c r="BF9" i="6"/>
  <c r="BF10" i="6" s="1"/>
  <c r="BE50" i="11"/>
  <c r="AS9" i="15"/>
  <c r="AS10" i="15" s="1"/>
  <c r="AV60" i="16"/>
  <c r="AV11" i="11"/>
  <c r="AP59" i="16"/>
  <c r="AP60" i="16" s="1"/>
  <c r="AV49" i="16"/>
  <c r="AV50" i="16" s="1"/>
  <c r="AS49" i="16"/>
  <c r="AS50" i="16" s="1"/>
  <c r="AP49" i="16"/>
  <c r="AP50" i="16" s="1"/>
  <c r="AM49" i="16"/>
  <c r="AM50" i="16" s="1"/>
  <c r="AV39" i="16"/>
  <c r="AV40" i="16" s="1"/>
  <c r="AS39" i="16"/>
  <c r="AS40" i="16" s="1"/>
  <c r="AP39" i="16"/>
  <c r="AP40" i="16" s="1"/>
  <c r="AM39" i="16"/>
  <c r="AM40" i="16" s="1"/>
  <c r="AJ39" i="16"/>
  <c r="AJ40" i="16" s="1"/>
  <c r="AP29" i="16"/>
  <c r="AP30" i="16" s="1"/>
  <c r="AM29" i="16"/>
  <c r="AM30" i="16" s="1"/>
  <c r="AJ29" i="16"/>
  <c r="AJ30" i="16" s="1"/>
  <c r="AV19" i="16"/>
  <c r="AV20" i="16" s="1"/>
  <c r="AS19" i="16"/>
  <c r="AS20" i="16" s="1"/>
  <c r="AP19" i="16"/>
  <c r="AP20" i="16" s="1"/>
  <c r="AM19" i="16"/>
  <c r="AM20" i="16" s="1"/>
  <c r="AJ19" i="16"/>
  <c r="AJ20" i="16" s="1"/>
  <c r="AV9" i="16"/>
  <c r="AV10" i="16" s="1"/>
  <c r="AS9" i="16"/>
  <c r="AS10" i="16" s="1"/>
  <c r="AP9" i="16"/>
  <c r="AP10" i="16" s="1"/>
  <c r="AM9" i="16"/>
  <c r="AM10" i="16" s="1"/>
  <c r="BN119" i="15"/>
  <c r="BN120" i="15" s="1"/>
  <c r="BK119" i="15"/>
  <c r="BK120" i="15" s="1"/>
  <c r="BH119" i="15"/>
  <c r="BH120" i="15" s="1"/>
  <c r="BE119" i="15"/>
  <c r="BE120" i="15" s="1"/>
  <c r="BB119" i="15"/>
  <c r="BB120" i="15" s="1"/>
  <c r="AY119" i="15"/>
  <c r="AY120" i="15" s="1"/>
  <c r="AV119" i="15"/>
  <c r="AV120" i="15" s="1"/>
  <c r="BH110" i="15"/>
  <c r="BE109" i="15"/>
  <c r="BE110" i="15" s="1"/>
  <c r="BB109" i="15"/>
  <c r="BB110" i="15" s="1"/>
  <c r="AY109" i="15"/>
  <c r="AY110" i="15" s="1"/>
  <c r="AS109" i="15"/>
  <c r="AS110" i="15" s="1"/>
  <c r="BN109" i="15"/>
  <c r="BN110" i="15" s="1"/>
  <c r="BN99" i="15"/>
  <c r="BN100" i="15" s="1"/>
  <c r="BK99" i="15"/>
  <c r="BK100" i="15" s="1"/>
  <c r="BH99" i="15"/>
  <c r="BH100" i="15" s="1"/>
  <c r="BE99" i="15"/>
  <c r="BE100" i="15" s="1"/>
  <c r="BB99" i="15"/>
  <c r="BB100" i="15" s="1"/>
  <c r="AY99" i="15"/>
  <c r="AY100" i="15" s="1"/>
  <c r="AV99" i="15"/>
  <c r="AV100" i="15" s="1"/>
  <c r="AS99" i="15"/>
  <c r="AS100" i="15" s="1"/>
  <c r="BN89" i="15"/>
  <c r="BN90" i="15" s="1"/>
  <c r="AY89" i="15"/>
  <c r="AY90" i="15" s="1"/>
  <c r="AS89" i="15"/>
  <c r="AS90" i="15" s="1"/>
  <c r="BN80" i="15"/>
  <c r="BE79" i="15"/>
  <c r="BE80" i="15" s="1"/>
  <c r="BB80" i="15"/>
  <c r="AS79" i="15"/>
  <c r="AS80" i="15" s="1"/>
  <c r="AV80" i="15"/>
  <c r="BN69" i="15"/>
  <c r="BN70" i="15" s="1"/>
  <c r="BK69" i="15"/>
  <c r="BK70" i="15" s="1"/>
  <c r="BE70" i="15"/>
  <c r="BB70" i="15"/>
  <c r="AS69" i="15"/>
  <c r="AS70" i="15" s="1"/>
  <c r="AY59" i="15"/>
  <c r="AY60" i="15" s="1"/>
  <c r="AS59" i="15"/>
  <c r="AS60" i="15" s="1"/>
  <c r="BN49" i="15"/>
  <c r="BN50" i="15" s="1"/>
  <c r="BH50" i="15"/>
  <c r="BB49" i="15"/>
  <c r="BB50" i="15" s="1"/>
  <c r="AY49" i="15"/>
  <c r="AY50" i="15" s="1"/>
  <c r="AV49" i="15"/>
  <c r="AV50" i="15" s="1"/>
  <c r="AS50" i="15"/>
  <c r="AS39" i="15"/>
  <c r="AS40" i="15" s="1"/>
  <c r="AV39" i="15"/>
  <c r="AV40" i="15" s="1"/>
  <c r="BB39" i="15"/>
  <c r="BB40" i="15" s="1"/>
  <c r="BH40" i="15"/>
  <c r="BN39" i="15"/>
  <c r="BN40" i="15" s="1"/>
  <c r="BN29" i="15"/>
  <c r="BN30" i="15" s="1"/>
  <c r="BH29" i="15"/>
  <c r="BH30" i="15" s="1"/>
  <c r="BB29" i="15"/>
  <c r="BB30" i="15" s="1"/>
  <c r="AV29" i="15"/>
  <c r="AV30" i="15" s="1"/>
  <c r="AS29" i="15"/>
  <c r="AS30" i="15" s="1"/>
  <c r="AS19" i="15"/>
  <c r="AS20" i="15" s="1"/>
  <c r="AV19" i="15"/>
  <c r="AV20" i="15" s="1"/>
  <c r="AY19" i="15"/>
  <c r="AY20" i="15" s="1"/>
  <c r="BB19" i="15"/>
  <c r="BB20" i="15" s="1"/>
  <c r="BE19" i="15"/>
  <c r="BE20" i="15" s="1"/>
  <c r="BH20" i="15"/>
  <c r="BK19" i="15"/>
  <c r="BK20" i="15" s="1"/>
  <c r="BN19" i="15"/>
  <c r="BN20" i="15" s="1"/>
  <c r="BN9" i="15"/>
  <c r="BN10" i="15" s="1"/>
  <c r="BK9" i="15"/>
  <c r="BK10" i="15" s="1"/>
  <c r="BH9" i="15"/>
  <c r="BH10" i="15" s="1"/>
  <c r="BE9" i="15"/>
  <c r="BE10" i="15" s="1"/>
  <c r="BB9" i="15"/>
  <c r="BB10" i="15" s="1"/>
  <c r="AY9" i="15"/>
  <c r="AY10" i="15" s="1"/>
  <c r="AV9" i="15"/>
  <c r="AV10" i="15" s="1"/>
  <c r="BH120" i="11"/>
  <c r="BH121" i="11" s="1"/>
  <c r="BE120" i="11"/>
  <c r="BE121" i="11" s="1"/>
  <c r="BB120" i="11"/>
  <c r="BB121" i="11" s="1"/>
  <c r="AV120" i="11"/>
  <c r="AV121" i="11" s="1"/>
  <c r="BH110" i="11"/>
  <c r="BH111" i="11" s="1"/>
  <c r="BE110" i="11"/>
  <c r="BE111" i="11" s="1"/>
  <c r="BB111" i="11"/>
  <c r="AY110" i="11"/>
  <c r="AY111" i="11" s="1"/>
  <c r="AV110" i="11"/>
  <c r="AV111" i="11" s="1"/>
  <c r="BH100" i="11"/>
  <c r="BH101" i="11" s="1"/>
  <c r="BE101" i="11"/>
  <c r="BB101" i="11"/>
  <c r="AY100" i="11"/>
  <c r="AY101" i="11" s="1"/>
  <c r="AV100" i="11"/>
  <c r="AV101" i="11" s="1"/>
  <c r="BH90" i="11"/>
  <c r="BH91" i="11" s="1"/>
  <c r="BE91" i="11"/>
  <c r="BB90" i="11"/>
  <c r="BB91" i="11" s="1"/>
  <c r="AY90" i="11"/>
  <c r="AY91" i="11" s="1"/>
  <c r="AV90" i="11"/>
  <c r="AV91" i="11" s="1"/>
  <c r="BB80" i="11"/>
  <c r="BB81" i="11" s="1"/>
  <c r="AY81" i="11"/>
  <c r="BH70" i="11"/>
  <c r="BH71" i="11" s="1"/>
  <c r="BE71" i="11"/>
  <c r="BB70" i="11"/>
  <c r="BB71" i="11" s="1"/>
  <c r="AY70" i="11"/>
  <c r="AY71" i="11" s="1"/>
  <c r="BH60" i="11"/>
  <c r="BH61" i="11" s="1"/>
  <c r="BE60" i="11"/>
  <c r="BE61" i="11" s="1"/>
  <c r="BB60" i="11"/>
  <c r="BB61" i="11" s="1"/>
  <c r="AY60" i="11"/>
  <c r="AY61" i="11" s="1"/>
  <c r="AV60" i="11"/>
  <c r="AV61" i="11" s="1"/>
  <c r="BB50" i="11"/>
  <c r="BB51" i="11" s="1"/>
  <c r="BH20" i="11"/>
  <c r="BH21" i="11" s="1"/>
  <c r="BH50" i="11"/>
  <c r="BH51" i="11" s="1"/>
  <c r="BE51" i="11"/>
  <c r="AY50" i="11"/>
  <c r="AY51" i="11" s="1"/>
  <c r="AV50" i="11"/>
  <c r="AV51" i="11" s="1"/>
  <c r="BH30" i="11"/>
  <c r="BH31" i="11" s="1"/>
  <c r="BE40" i="11"/>
  <c r="BE41" i="11" s="1"/>
  <c r="AY40" i="11"/>
  <c r="AY41" i="11" s="1"/>
  <c r="AV40" i="11"/>
  <c r="AV41" i="11" s="1"/>
  <c r="BE30" i="11"/>
  <c r="BE31" i="11" s="1"/>
  <c r="AV30" i="11"/>
  <c r="AV31" i="11" s="1"/>
  <c r="BE21" i="11"/>
  <c r="AY20" i="11"/>
  <c r="AY21" i="11" s="1"/>
  <c r="AV20" i="11"/>
  <c r="AV21" i="11" s="1"/>
  <c r="BH10" i="11"/>
  <c r="BH11" i="11" s="1"/>
  <c r="BE10" i="11"/>
  <c r="BE11" i="11" s="1"/>
  <c r="BB10" i="11"/>
  <c r="BB11" i="11" s="1"/>
  <c r="AY10" i="11"/>
  <c r="AY11" i="11" s="1"/>
  <c r="AG121" i="14"/>
  <c r="AD120" i="14"/>
  <c r="AD121" i="14" s="1"/>
  <c r="AG110" i="14"/>
  <c r="AG111" i="14" s="1"/>
  <c r="AD110" i="14"/>
  <c r="AD111" i="14" s="1"/>
  <c r="AG100" i="14"/>
  <c r="AG101" i="14" s="1"/>
  <c r="AD100" i="14"/>
  <c r="AD101" i="14" s="1"/>
  <c r="AD90" i="14"/>
  <c r="AD91" i="14" s="1"/>
  <c r="AG90" i="14"/>
  <c r="AG91" i="14" s="1"/>
  <c r="AG81" i="14"/>
  <c r="AD70" i="14"/>
  <c r="AD71" i="14" s="1"/>
  <c r="AG60" i="14"/>
  <c r="AG61" i="14" s="1"/>
  <c r="AD60" i="14"/>
  <c r="AD61" i="14" s="1"/>
  <c r="AG50" i="14"/>
  <c r="AG51" i="14" s="1"/>
  <c r="AG41" i="14"/>
  <c r="AG30" i="14"/>
  <c r="AG31" i="14" s="1"/>
  <c r="AD30" i="14"/>
  <c r="AD31" i="14" s="1"/>
  <c r="AG20" i="14"/>
  <c r="AG21" i="14" s="1"/>
  <c r="AD20" i="14"/>
  <c r="AD21" i="14" s="1"/>
  <c r="AG10" i="14"/>
  <c r="AG11" i="14" s="1"/>
  <c r="AB119" i="6"/>
  <c r="AB120" i="6" s="1"/>
  <c r="AE119" i="6"/>
  <c r="AE120" i="6" s="1"/>
  <c r="AH119" i="6"/>
  <c r="AH120" i="6" s="1"/>
  <c r="AK119" i="6"/>
  <c r="AK120" i="6" s="1"/>
  <c r="AN119" i="6"/>
  <c r="AN120" i="6" s="1"/>
  <c r="AQ119" i="6"/>
  <c r="AQ120" i="6" s="1"/>
  <c r="AT119" i="6"/>
  <c r="AT120" i="6" s="1"/>
  <c r="AW119" i="6"/>
  <c r="AW120" i="6" s="1"/>
  <c r="AZ119" i="6"/>
  <c r="AZ120" i="6" s="1"/>
  <c r="BC119" i="6"/>
  <c r="BC120" i="6" s="1"/>
  <c r="BF119" i="6"/>
  <c r="BF120" i="6" s="1"/>
  <c r="BF109" i="6"/>
  <c r="BF110" i="6" s="1"/>
  <c r="BC109" i="6"/>
  <c r="BC110" i="6" s="1"/>
  <c r="AZ109" i="6"/>
  <c r="AZ110" i="6" s="1"/>
  <c r="AW109" i="6"/>
  <c r="AW110" i="6" s="1"/>
  <c r="AT109" i="6"/>
  <c r="AT110" i="6" s="1"/>
  <c r="AQ109" i="6"/>
  <c r="AQ110" i="6" s="1"/>
  <c r="AN109" i="6"/>
  <c r="AN110" i="6" s="1"/>
  <c r="AK109" i="6"/>
  <c r="AK110" i="6" s="1"/>
  <c r="AH109" i="6"/>
  <c r="AH110" i="6" s="1"/>
  <c r="AE109" i="6"/>
  <c r="AE110" i="6" s="1"/>
  <c r="AB109" i="6"/>
  <c r="AB110" i="6" s="1"/>
  <c r="AQ99" i="6"/>
  <c r="AQ100" i="6" s="1"/>
  <c r="AB99" i="6"/>
  <c r="AB100" i="6" s="1"/>
  <c r="AE99" i="6"/>
  <c r="AE100" i="6" s="1"/>
  <c r="AH99" i="6"/>
  <c r="AH100" i="6" s="1"/>
  <c r="AK99" i="6"/>
  <c r="AK100" i="6" s="1"/>
  <c r="AN99" i="6"/>
  <c r="AN100" i="6" s="1"/>
  <c r="AT99" i="6"/>
  <c r="AT100" i="6" s="1"/>
  <c r="AW99" i="6"/>
  <c r="AW100" i="6" s="1"/>
  <c r="AZ99" i="6"/>
  <c r="AZ100" i="6" s="1"/>
  <c r="BC99" i="6"/>
  <c r="BC100" i="6" s="1"/>
  <c r="BF99" i="6"/>
  <c r="BF100" i="6" s="1"/>
  <c r="BF89" i="6"/>
  <c r="BF90" i="6" s="1"/>
  <c r="BC89" i="6"/>
  <c r="BC90" i="6" s="1"/>
  <c r="AZ89" i="6"/>
  <c r="AZ90" i="6" s="1"/>
  <c r="AW89" i="6"/>
  <c r="AW90" i="6" s="1"/>
  <c r="AT89" i="6"/>
  <c r="AT90" i="6" s="1"/>
  <c r="AQ89" i="6"/>
  <c r="AQ90" i="6" s="1"/>
  <c r="AN89" i="6"/>
  <c r="AN90" i="6" s="1"/>
  <c r="AK89" i="6"/>
  <c r="AK90" i="6" s="1"/>
  <c r="AH89" i="6"/>
  <c r="AH90" i="6" s="1"/>
  <c r="AE89" i="6"/>
  <c r="AE90" i="6" s="1"/>
  <c r="AB89" i="6"/>
  <c r="AB90" i="6" s="1"/>
  <c r="AB79" i="6"/>
  <c r="AB80" i="6" s="1"/>
  <c r="AE79" i="6"/>
  <c r="AE80" i="6" s="1"/>
  <c r="AH79" i="6"/>
  <c r="AH80" i="6" s="1"/>
  <c r="AK79" i="6"/>
  <c r="AK80" i="6" s="1"/>
  <c r="AN79" i="6"/>
  <c r="AN80" i="6" s="1"/>
  <c r="AQ79" i="6"/>
  <c r="AQ80" i="6" s="1"/>
  <c r="AT79" i="6"/>
  <c r="AT80" i="6" s="1"/>
  <c r="AW79" i="6"/>
  <c r="AW80" i="6" s="1"/>
  <c r="AZ79" i="6"/>
  <c r="AZ80" i="6" s="1"/>
  <c r="BC79" i="6"/>
  <c r="BC80" i="6" s="1"/>
  <c r="BF79" i="6"/>
  <c r="BF80" i="6" s="1"/>
  <c r="BF69" i="6"/>
  <c r="BF70" i="6" s="1"/>
  <c r="BC69" i="6"/>
  <c r="BC70" i="6" s="1"/>
  <c r="AZ69" i="6"/>
  <c r="AZ70" i="6" s="1"/>
  <c r="AW69" i="6"/>
  <c r="AW70" i="6" s="1"/>
  <c r="AT69" i="6"/>
  <c r="AT70" i="6" s="1"/>
  <c r="AN69" i="6"/>
  <c r="AN70" i="6" s="1"/>
  <c r="AK69" i="6"/>
  <c r="AK70" i="6" s="1"/>
  <c r="AH69" i="6"/>
  <c r="AH70" i="6" s="1"/>
  <c r="AE69" i="6"/>
  <c r="AE70" i="6" s="1"/>
  <c r="AB69" i="6"/>
  <c r="AB70" i="6" s="1"/>
  <c r="AE59" i="6"/>
  <c r="AE60" i="6" s="1"/>
  <c r="AB59" i="6"/>
  <c r="AB60" i="6" s="1"/>
  <c r="AH59" i="6"/>
  <c r="AH60" i="6" s="1"/>
  <c r="AK59" i="6"/>
  <c r="AK60" i="6" s="1"/>
  <c r="AN59" i="6"/>
  <c r="AN60" i="6" s="1"/>
  <c r="AQ59" i="6"/>
  <c r="AQ60" i="6" s="1"/>
  <c r="AT59" i="6"/>
  <c r="AT60" i="6" s="1"/>
  <c r="AW59" i="6"/>
  <c r="AW60" i="6" s="1"/>
  <c r="AZ59" i="6"/>
  <c r="AZ60" i="6" s="1"/>
  <c r="BC59" i="6"/>
  <c r="BC60" i="6" s="1"/>
  <c r="BF59" i="6"/>
  <c r="BF60" i="6" s="1"/>
  <c r="BF49" i="6"/>
  <c r="BF50" i="6" s="1"/>
  <c r="BC49" i="6"/>
  <c r="BC50" i="6" s="1"/>
  <c r="AZ49" i="6"/>
  <c r="AZ50" i="6" s="1"/>
  <c r="AW49" i="6"/>
  <c r="AW50" i="6" s="1"/>
  <c r="AT49" i="6"/>
  <c r="AT50" i="6" s="1"/>
  <c r="AQ49" i="6"/>
  <c r="AQ50" i="6" s="1"/>
  <c r="AN49" i="6"/>
  <c r="AN50" i="6" s="1"/>
  <c r="AK49" i="6"/>
  <c r="AK50" i="6" s="1"/>
  <c r="AH49" i="6"/>
  <c r="AH50" i="6" s="1"/>
  <c r="AE49" i="6"/>
  <c r="AE50" i="6" s="1"/>
  <c r="AB49" i="6"/>
  <c r="AB50" i="6" s="1"/>
  <c r="AB39" i="6"/>
  <c r="AB40" i="6" s="1"/>
  <c r="AE39" i="6"/>
  <c r="AE40" i="6" s="1"/>
  <c r="AH39" i="6"/>
  <c r="AH40" i="6" s="1"/>
  <c r="AK39" i="6"/>
  <c r="AK40" i="6" s="1"/>
  <c r="AN39" i="6"/>
  <c r="AN40" i="6" s="1"/>
  <c r="AQ39" i="6"/>
  <c r="AQ40" i="6" s="1"/>
  <c r="AT39" i="6"/>
  <c r="AT40" i="6" s="1"/>
  <c r="AW39" i="6"/>
  <c r="AW40" i="6" s="1"/>
  <c r="AZ39" i="6"/>
  <c r="AZ40" i="6" s="1"/>
  <c r="BC39" i="6"/>
  <c r="BC40" i="6" s="1"/>
  <c r="BF39" i="6"/>
  <c r="BF40" i="6" s="1"/>
  <c r="BF29" i="6"/>
  <c r="BF30" i="6" s="1"/>
  <c r="BC29" i="6"/>
  <c r="BC30" i="6" s="1"/>
  <c r="AZ29" i="6"/>
  <c r="AZ30" i="6" s="1"/>
  <c r="AW29" i="6"/>
  <c r="AW30" i="6" s="1"/>
  <c r="AT29" i="6"/>
  <c r="AT30" i="6" s="1"/>
  <c r="AT19" i="6"/>
  <c r="AT20" i="6" s="1"/>
  <c r="AQ29" i="6"/>
  <c r="AQ30" i="6" s="1"/>
  <c r="AN29" i="6"/>
  <c r="AN30" i="6" s="1"/>
  <c r="AK29" i="6"/>
  <c r="AK30" i="6" s="1"/>
  <c r="AH29" i="6"/>
  <c r="AH30" i="6" s="1"/>
  <c r="AE29" i="6"/>
  <c r="AE30" i="6" s="1"/>
  <c r="AB29" i="6"/>
  <c r="AB30" i="6" s="1"/>
  <c r="BF19" i="6"/>
  <c r="BF20" i="6" s="1"/>
  <c r="AZ19" i="6"/>
  <c r="AZ20" i="6" s="1"/>
  <c r="AW19" i="6"/>
  <c r="AW20" i="6" s="1"/>
  <c r="AQ19" i="6"/>
  <c r="AQ20" i="6" s="1"/>
  <c r="AN19" i="6"/>
  <c r="AN20" i="6" s="1"/>
  <c r="AK19" i="6"/>
  <c r="AK20" i="6" s="1"/>
  <c r="AK9" i="6"/>
  <c r="AK10" i="6" s="1"/>
  <c r="AW9" i="6"/>
  <c r="AW10" i="6" s="1"/>
  <c r="AE9" i="6"/>
  <c r="AE10" i="6" s="1"/>
  <c r="AQ9" i="6"/>
  <c r="AQ10" i="6" s="1"/>
  <c r="BC9" i="6"/>
  <c r="BC10" i="6" s="1"/>
  <c r="AN9" i="6"/>
  <c r="AN10" i="6" s="1"/>
  <c r="AZ9" i="6"/>
  <c r="AZ10" i="6" s="1"/>
  <c r="AE19" i="6"/>
  <c r="AE20" i="6" s="1"/>
  <c r="AB9" i="6"/>
  <c r="AB10" i="6" s="1"/>
  <c r="AB19" i="6"/>
  <c r="AB20" i="6" s="1"/>
  <c r="W33" i="15"/>
  <c r="W32" i="15"/>
  <c r="W31" i="15"/>
  <c r="W30" i="15"/>
  <c r="W29" i="15"/>
  <c r="W28" i="15"/>
  <c r="Y32" i="15"/>
  <c r="Y31" i="15"/>
  <c r="Y30" i="15"/>
  <c r="Y29" i="15"/>
  <c r="Y28" i="15"/>
  <c r="Y27" i="15"/>
  <c r="Y26" i="15"/>
  <c r="V26" i="15"/>
  <c r="P26" i="15"/>
  <c r="Y33" i="15" l="1"/>
  <c r="AB23" i="15" s="1"/>
  <c r="J11" i="14" l="1"/>
  <c r="O5" i="14" s="1"/>
  <c r="D11" i="14"/>
  <c r="O4" i="14" s="1"/>
  <c r="P5" i="14" l="1"/>
  <c r="P4" i="14"/>
  <c r="AB11" i="11"/>
  <c r="AG8" i="11" s="1"/>
  <c r="V11" i="11"/>
  <c r="AG7" i="11" s="1"/>
  <c r="P11" i="11"/>
  <c r="AG6" i="11" s="1"/>
  <c r="J11" i="11"/>
  <c r="AG5" i="11" s="1"/>
  <c r="D11" i="11"/>
  <c r="AG4" i="11" s="1"/>
  <c r="AB10" i="15"/>
  <c r="Q33" i="15"/>
  <c r="AB9" i="15" s="1"/>
  <c r="K33" i="15"/>
  <c r="AB7" i="15" s="1"/>
  <c r="E33" i="15"/>
  <c r="AB4" i="15" s="1"/>
  <c r="W10" i="15"/>
  <c r="AB6" i="15" s="1"/>
  <c r="Q10" i="15"/>
  <c r="AB8" i="15" s="1"/>
  <c r="K10" i="15"/>
  <c r="AB5" i="15" s="1"/>
  <c r="E10" i="15"/>
  <c r="AB3" i="15" s="1"/>
  <c r="AD8" i="17"/>
  <c r="J36" i="16"/>
  <c r="U7" i="16" s="1"/>
  <c r="D36" i="16"/>
  <c r="U6" i="16" s="1"/>
  <c r="P10" i="16"/>
  <c r="U5" i="16" s="1"/>
  <c r="J10" i="16"/>
  <c r="U4" i="16" s="1"/>
  <c r="D10" i="16"/>
  <c r="U3" i="16" s="1"/>
  <c r="AC12" i="15" l="1"/>
  <c r="AC8" i="15"/>
  <c r="AC4" i="15"/>
  <c r="AC11" i="15"/>
  <c r="AC7" i="15"/>
  <c r="AC3" i="15"/>
  <c r="AC9" i="15"/>
  <c r="AC5" i="15"/>
  <c r="AC10" i="15"/>
  <c r="AC6" i="15"/>
  <c r="V4" i="16"/>
  <c r="V6" i="16"/>
  <c r="V7" i="16"/>
  <c r="V3" i="16"/>
  <c r="V5" i="16"/>
  <c r="AH7" i="11"/>
  <c r="AH4" i="11"/>
  <c r="AH6" i="11"/>
  <c r="AH5" i="11"/>
  <c r="AH8" i="11"/>
  <c r="AA14" i="20"/>
  <c r="AL10" i="15"/>
  <c r="AK10" i="15"/>
  <c r="AI10" i="15"/>
  <c r="AG10" i="15"/>
  <c r="AJ10" i="15"/>
  <c r="AH10" i="15"/>
  <c r="AF10" i="15"/>
  <c r="W8" i="15"/>
  <c r="W7" i="15"/>
  <c r="W6" i="15"/>
  <c r="W9" i="15"/>
  <c r="W5" i="15"/>
  <c r="Y9" i="15"/>
  <c r="AL6" i="15" s="1"/>
  <c r="Y8" i="15"/>
  <c r="AK6" i="15" s="1"/>
  <c r="Y7" i="15"/>
  <c r="AI6" i="15" s="1"/>
  <c r="Y6" i="15"/>
  <c r="AG6" i="15" s="1"/>
  <c r="Y5" i="15"/>
  <c r="AJ6" i="15" s="1"/>
  <c r="Y4" i="15"/>
  <c r="AH6" i="15" s="1"/>
  <c r="Y3" i="15"/>
  <c r="AF6" i="15" s="1"/>
  <c r="V3" i="15"/>
  <c r="AB15" i="12"/>
  <c r="AB14" i="12"/>
  <c r="AB13" i="12"/>
  <c r="AB12" i="12"/>
  <c r="AB11" i="12"/>
  <c r="AB10" i="12"/>
  <c r="AB9" i="12"/>
  <c r="AB8" i="12"/>
  <c r="AB7" i="12"/>
  <c r="AB6" i="12"/>
  <c r="AB5" i="12"/>
  <c r="AB4" i="12"/>
  <c r="AA15" i="12"/>
  <c r="AA14" i="12"/>
  <c r="AA13" i="12"/>
  <c r="AA12" i="12"/>
  <c r="AA11" i="12"/>
  <c r="AA10" i="12"/>
  <c r="AA9" i="12"/>
  <c r="AA8" i="12"/>
  <c r="AA7" i="12"/>
  <c r="AA6" i="12"/>
  <c r="AA5" i="12"/>
  <c r="AA4" i="12"/>
  <c r="Y10" i="15" l="1"/>
  <c r="AB19" i="15" s="1"/>
  <c r="Z15" i="12"/>
  <c r="Z14" i="12"/>
  <c r="Z13" i="12"/>
  <c r="Z12" i="12"/>
  <c r="Z11" i="12"/>
  <c r="Z10" i="12"/>
  <c r="Z9" i="12"/>
  <c r="Z8" i="12"/>
  <c r="Z7" i="12"/>
  <c r="Z6" i="12"/>
  <c r="Z5" i="12"/>
  <c r="Z4" i="12"/>
  <c r="Y15" i="12"/>
  <c r="Y14" i="12"/>
  <c r="Y13" i="12"/>
  <c r="Y12" i="12"/>
  <c r="Y11" i="12"/>
  <c r="Y10" i="12"/>
  <c r="Y9" i="12"/>
  <c r="Y8" i="12"/>
  <c r="Y7" i="12"/>
  <c r="Y6" i="12"/>
  <c r="Y5" i="12"/>
  <c r="Y4" i="12"/>
  <c r="X15" i="12"/>
  <c r="X14" i="12"/>
  <c r="X13" i="12"/>
  <c r="X12" i="12"/>
  <c r="X11" i="12"/>
  <c r="X10" i="12"/>
  <c r="X9" i="12"/>
  <c r="X8" i="12"/>
  <c r="X7" i="12"/>
  <c r="X6" i="12"/>
  <c r="X5" i="12"/>
  <c r="X4" i="12"/>
  <c r="W15" i="12"/>
  <c r="W14" i="12"/>
  <c r="W13" i="12"/>
  <c r="W12" i="12"/>
  <c r="W11" i="12"/>
  <c r="W10" i="12"/>
  <c r="W9" i="12"/>
  <c r="W8" i="12"/>
  <c r="W7" i="12"/>
  <c r="W6" i="12"/>
  <c r="W5" i="12"/>
  <c r="W4" i="12"/>
  <c r="V15" i="12"/>
  <c r="AC15" i="12" s="1"/>
  <c r="V14" i="12"/>
  <c r="AC14" i="12" s="1"/>
  <c r="V13" i="12"/>
  <c r="AC13" i="12" s="1"/>
  <c r="V12" i="12"/>
  <c r="AC12" i="12" s="1"/>
  <c r="V11" i="12"/>
  <c r="AC11" i="12" s="1"/>
  <c r="V10" i="12"/>
  <c r="AC10" i="12" s="1"/>
  <c r="V9" i="12"/>
  <c r="AC9" i="12" s="1"/>
  <c r="V8" i="12"/>
  <c r="AC8" i="12" s="1"/>
  <c r="V7" i="12"/>
  <c r="AC7" i="12" s="1"/>
  <c r="V6" i="12"/>
  <c r="AC6" i="12" s="1"/>
  <c r="V5" i="12"/>
  <c r="AC5" i="12" s="1"/>
  <c r="V4" i="12"/>
  <c r="AC4" i="12" s="1"/>
  <c r="AD15" i="12" l="1"/>
  <c r="AD11" i="12"/>
  <c r="AD7" i="12"/>
  <c r="AD4" i="12"/>
  <c r="AD14" i="12"/>
  <c r="AD10" i="12"/>
  <c r="AD6" i="12"/>
  <c r="AD12" i="12"/>
  <c r="AD13" i="12"/>
  <c r="AD9" i="12"/>
  <c r="AD5" i="12"/>
  <c r="AD8" i="12"/>
  <c r="L76" i="6"/>
  <c r="U13" i="6" s="1"/>
  <c r="F76" i="6"/>
  <c r="U11" i="6" s="1"/>
  <c r="R55" i="6"/>
  <c r="U12" i="6" s="1"/>
  <c r="L55" i="6"/>
  <c r="U10" i="6" s="1"/>
  <c r="F55" i="6"/>
  <c r="U9" i="6" s="1"/>
  <c r="R32" i="6"/>
  <c r="U7" i="6" s="1"/>
  <c r="L32" i="6"/>
  <c r="U8" i="6" s="1"/>
  <c r="F32" i="6"/>
  <c r="U6" i="6" s="1"/>
  <c r="R10" i="6"/>
  <c r="U5" i="6" s="1"/>
  <c r="L10" i="6"/>
  <c r="U4" i="6" s="1"/>
  <c r="F10" i="6"/>
  <c r="U3" i="6" s="1"/>
  <c r="BP4" i="20"/>
  <c r="BO4" i="20"/>
  <c r="BN4" i="20"/>
  <c r="BM4" i="20"/>
  <c r="BL4" i="20"/>
  <c r="BK4" i="20"/>
  <c r="BJ4" i="20"/>
  <c r="AY14" i="20"/>
  <c r="AY13" i="20"/>
  <c r="AY12" i="20"/>
  <c r="AY11" i="20"/>
  <c r="AY10" i="20"/>
  <c r="AY9" i="20"/>
  <c r="AY8" i="20"/>
  <c r="AY7" i="20"/>
  <c r="AY6" i="20"/>
  <c r="AY5" i="20"/>
  <c r="AY4" i="20"/>
  <c r="AY3" i="20"/>
  <c r="AT14" i="20"/>
  <c r="AT13" i="20"/>
  <c r="AT12" i="20"/>
  <c r="AT11" i="20"/>
  <c r="AT10" i="20"/>
  <c r="AT9" i="20"/>
  <c r="AT8" i="20"/>
  <c r="AT7" i="20"/>
  <c r="AT6" i="20"/>
  <c r="AT5" i="20"/>
  <c r="AT4" i="20"/>
  <c r="AT3" i="20"/>
  <c r="AS14" i="20"/>
  <c r="AS13" i="20"/>
  <c r="AS12" i="20"/>
  <c r="AS11" i="20"/>
  <c r="AS10" i="20"/>
  <c r="AS9" i="20"/>
  <c r="AS8" i="20"/>
  <c r="AS7" i="20"/>
  <c r="AS6" i="20"/>
  <c r="AS5" i="20"/>
  <c r="AS4" i="20"/>
  <c r="AS3" i="20"/>
  <c r="AR14" i="20"/>
  <c r="AR13" i="20"/>
  <c r="AR12" i="20"/>
  <c r="AR11" i="20"/>
  <c r="AR10" i="20"/>
  <c r="AR9" i="20"/>
  <c r="AR8" i="20"/>
  <c r="AR7" i="20"/>
  <c r="AR6" i="20"/>
  <c r="AR5" i="20"/>
  <c r="AR4" i="20"/>
  <c r="AR3" i="20"/>
  <c r="AQ14" i="20"/>
  <c r="AQ13" i="20"/>
  <c r="AQ12" i="20"/>
  <c r="AQ11" i="20"/>
  <c r="AQ10" i="20"/>
  <c r="AQ9" i="20"/>
  <c r="AQ8" i="20"/>
  <c r="AQ7" i="20"/>
  <c r="AQ6" i="20"/>
  <c r="AQ5" i="20"/>
  <c r="AQ4" i="20"/>
  <c r="AQ3" i="20"/>
  <c r="AP14" i="20"/>
  <c r="AP13" i="20"/>
  <c r="AP12" i="20"/>
  <c r="AP11" i="20"/>
  <c r="AP10" i="20"/>
  <c r="AP9" i="20"/>
  <c r="AP8" i="20"/>
  <c r="AP7" i="20"/>
  <c r="AP4" i="20"/>
  <c r="AP6" i="20"/>
  <c r="AP5" i="20"/>
  <c r="AP3" i="20"/>
  <c r="AO14" i="20"/>
  <c r="AO13" i="20"/>
  <c r="AO12" i="20"/>
  <c r="AO11" i="20"/>
  <c r="AO10" i="20"/>
  <c r="AO9" i="20"/>
  <c r="AO8" i="20"/>
  <c r="AO7" i="20"/>
  <c r="AO6" i="20"/>
  <c r="AO5" i="20"/>
  <c r="AO4" i="20"/>
  <c r="AO3" i="20"/>
  <c r="AN14" i="20"/>
  <c r="AN13" i="20"/>
  <c r="AN12" i="20"/>
  <c r="AN11" i="20"/>
  <c r="AN10" i="20"/>
  <c r="AN9" i="20"/>
  <c r="AN8" i="20"/>
  <c r="AN7" i="20"/>
  <c r="AN6" i="20"/>
  <c r="AN5" i="20"/>
  <c r="AN4" i="20"/>
  <c r="AN3" i="20"/>
  <c r="AK14" i="20"/>
  <c r="AK13" i="20"/>
  <c r="AK12" i="20"/>
  <c r="AK11" i="20"/>
  <c r="AK10" i="20"/>
  <c r="AK9" i="20"/>
  <c r="AK8" i="20"/>
  <c r="AK7" i="20"/>
  <c r="AK6" i="20"/>
  <c r="AK5" i="20"/>
  <c r="AK4" i="20"/>
  <c r="AK3" i="20"/>
  <c r="AJ14" i="20"/>
  <c r="AJ13" i="20"/>
  <c r="AJ12" i="20"/>
  <c r="AJ11" i="20"/>
  <c r="AJ10" i="20"/>
  <c r="AJ9" i="20"/>
  <c r="AJ8" i="20"/>
  <c r="AJ7" i="20"/>
  <c r="AJ6" i="20"/>
  <c r="AJ5" i="20"/>
  <c r="AJ4" i="20"/>
  <c r="AJ3" i="20"/>
  <c r="AI14" i="20"/>
  <c r="AI13" i="20"/>
  <c r="AI12" i="20"/>
  <c r="AI11" i="20"/>
  <c r="AI10" i="20"/>
  <c r="AI9" i="20"/>
  <c r="AI8" i="20"/>
  <c r="AI7" i="20"/>
  <c r="AI6" i="20"/>
  <c r="AI5" i="20"/>
  <c r="AI4" i="20"/>
  <c r="AI3" i="20"/>
  <c r="AH14" i="20"/>
  <c r="AH13" i="20"/>
  <c r="AH12" i="20"/>
  <c r="AH11" i="20"/>
  <c r="AH10" i="20"/>
  <c r="AH9" i="20"/>
  <c r="AH8" i="20"/>
  <c r="AH7" i="20"/>
  <c r="AH6" i="20"/>
  <c r="AH5" i="20"/>
  <c r="AH4" i="20"/>
  <c r="AH3" i="20"/>
  <c r="AG14" i="20"/>
  <c r="AG13" i="20"/>
  <c r="AG12" i="20"/>
  <c r="AG11" i="20"/>
  <c r="AG10" i="20"/>
  <c r="AG9" i="20"/>
  <c r="AG8" i="20"/>
  <c r="AG7" i="20"/>
  <c r="AG6" i="20"/>
  <c r="AG5" i="20"/>
  <c r="AG4" i="20"/>
  <c r="AG3" i="20"/>
  <c r="AF14" i="20"/>
  <c r="AF13" i="20"/>
  <c r="AF12" i="20"/>
  <c r="AF11" i="20"/>
  <c r="AF10" i="20"/>
  <c r="AF9" i="20"/>
  <c r="AF8" i="20"/>
  <c r="AF7" i="20"/>
  <c r="AF6" i="20"/>
  <c r="AF5" i="20"/>
  <c r="AF4" i="20"/>
  <c r="AF3" i="20"/>
  <c r="AE14" i="20"/>
  <c r="AE13" i="20"/>
  <c r="AE12" i="20"/>
  <c r="AE11" i="20"/>
  <c r="AE10" i="20"/>
  <c r="AE9" i="20"/>
  <c r="AE8" i="20"/>
  <c r="AE7" i="20"/>
  <c r="AE6" i="20"/>
  <c r="AE5" i="20"/>
  <c r="AE4" i="20"/>
  <c r="AE3" i="20"/>
  <c r="AD14" i="20"/>
  <c r="AD13" i="20"/>
  <c r="AD12" i="20"/>
  <c r="AD11" i="20"/>
  <c r="AD10" i="20"/>
  <c r="AD9" i="20"/>
  <c r="AD8" i="20"/>
  <c r="AD7" i="20"/>
  <c r="AD6" i="20"/>
  <c r="AD5" i="20"/>
  <c r="AD4" i="20"/>
  <c r="AD3" i="20"/>
  <c r="AC14" i="20"/>
  <c r="AC13" i="20"/>
  <c r="AC12" i="20"/>
  <c r="AC11" i="20"/>
  <c r="AC10" i="20"/>
  <c r="AC9" i="20"/>
  <c r="AC8" i="20"/>
  <c r="AC7" i="20"/>
  <c r="AC6" i="20"/>
  <c r="AC5" i="20"/>
  <c r="AC4" i="20"/>
  <c r="AC3" i="20"/>
  <c r="AB14" i="20"/>
  <c r="AB13" i="20"/>
  <c r="AB12" i="20"/>
  <c r="AB11" i="20"/>
  <c r="AB10" i="20"/>
  <c r="AB9" i="20"/>
  <c r="AB8" i="20"/>
  <c r="AB7" i="20"/>
  <c r="AB6" i="20"/>
  <c r="AB5" i="20"/>
  <c r="AB4" i="20"/>
  <c r="AB3" i="20"/>
  <c r="AA13" i="20"/>
  <c r="AA12" i="20"/>
  <c r="AA11" i="20"/>
  <c r="AA10" i="20"/>
  <c r="AA9" i="20"/>
  <c r="AA8" i="20"/>
  <c r="AA7" i="20"/>
  <c r="AA6" i="20"/>
  <c r="AA5" i="20"/>
  <c r="AA4" i="20"/>
  <c r="AA3" i="20"/>
  <c r="Z14" i="20"/>
  <c r="Z13" i="20"/>
  <c r="Z12" i="20"/>
  <c r="Z11" i="20"/>
  <c r="Z10" i="20"/>
  <c r="Z9" i="20"/>
  <c r="Z8" i="20"/>
  <c r="Z7" i="20"/>
  <c r="Z6" i="20"/>
  <c r="Z5" i="20"/>
  <c r="Z4" i="20"/>
  <c r="Z3" i="20"/>
  <c r="AZ11" i="20" l="1"/>
  <c r="AZ7" i="20"/>
  <c r="AZ3" i="20"/>
  <c r="AZ14" i="20"/>
  <c r="AZ10" i="20"/>
  <c r="AZ6" i="20"/>
  <c r="AZ13" i="20"/>
  <c r="AZ9" i="20"/>
  <c r="AZ5" i="20"/>
  <c r="AZ12" i="20"/>
  <c r="AZ8" i="20"/>
  <c r="AZ4" i="20"/>
  <c r="V13" i="6"/>
  <c r="V8" i="6"/>
  <c r="V4" i="6"/>
  <c r="V12" i="6"/>
  <c r="V7" i="6"/>
  <c r="V3" i="6"/>
  <c r="V11" i="6"/>
  <c r="V6" i="6"/>
  <c r="V9" i="6"/>
  <c r="V10" i="6"/>
  <c r="V5" i="6"/>
  <c r="AI15" i="20"/>
  <c r="AJ15" i="20"/>
  <c r="AK15" i="20"/>
  <c r="AE15" i="20"/>
  <c r="BI4" i="20"/>
  <c r="BI5" i="20" s="1"/>
  <c r="BJ7" i="20"/>
  <c r="AC15" i="20"/>
  <c r="AD15" i="20"/>
  <c r="AF15" i="20"/>
  <c r="AG15" i="20"/>
  <c r="AH15" i="20"/>
  <c r="AU4" i="20"/>
  <c r="AU8" i="20"/>
  <c r="AU12" i="20"/>
  <c r="AU5" i="20"/>
  <c r="AU9" i="20"/>
  <c r="AU13" i="20"/>
  <c r="AU6" i="20"/>
  <c r="AU10" i="20"/>
  <c r="AU14" i="20"/>
  <c r="Z15" i="20"/>
  <c r="AA15" i="20"/>
  <c r="AB15" i="20"/>
  <c r="AU3" i="20"/>
  <c r="AU7" i="20"/>
  <c r="AU11" i="20"/>
  <c r="AV11" i="20" l="1"/>
  <c r="AV3" i="20"/>
  <c r="AV14" i="20"/>
  <c r="AV10" i="20"/>
  <c r="AV6" i="20"/>
  <c r="AV9" i="20"/>
  <c r="AV13" i="20"/>
  <c r="AV5" i="20"/>
  <c r="AV12" i="20"/>
  <c r="AV8" i="20"/>
  <c r="AV4" i="20"/>
  <c r="AV7" i="20"/>
  <c r="BO5" i="20"/>
  <c r="BK5" i="20"/>
  <c r="BJ8" i="20"/>
  <c r="BN5" i="20"/>
  <c r="BJ5" i="20"/>
  <c r="BM5" i="20"/>
  <c r="BP5" i="20"/>
  <c r="BL5" i="20"/>
  <c r="BD16" i="20"/>
  <c r="BF24" i="20" l="1"/>
  <c r="BE24" i="20"/>
  <c r="BD24" i="20"/>
  <c r="BC24" i="20"/>
  <c r="BB24" i="20"/>
  <c r="BF12" i="20"/>
  <c r="BE12" i="20"/>
  <c r="BD12" i="20"/>
  <c r="BC12" i="20"/>
  <c r="BB12" i="20"/>
  <c r="BF8" i="20"/>
  <c r="BE8" i="20"/>
  <c r="BD8" i="20"/>
  <c r="BC8" i="20"/>
  <c r="BB8" i="20"/>
  <c r="BF28" i="20"/>
  <c r="BE28" i="20"/>
  <c r="BD28" i="20"/>
  <c r="BC28" i="20"/>
  <c r="BB28" i="20"/>
  <c r="BF20" i="20"/>
  <c r="BE20" i="20"/>
  <c r="BD20" i="20"/>
  <c r="BC20" i="20"/>
  <c r="BB20" i="20"/>
  <c r="BF16" i="20"/>
  <c r="BE16" i="20"/>
  <c r="BC16" i="20"/>
  <c r="BB16" i="20"/>
  <c r="BF4" i="20"/>
  <c r="BE4" i="20"/>
  <c r="BD4" i="20"/>
  <c r="BC4" i="20"/>
  <c r="BB4" i="20"/>
  <c r="V10" i="11" l="1"/>
  <c r="AD46" i="17" l="1"/>
  <c r="AD45" i="17"/>
  <c r="AD44" i="17"/>
  <c r="AD43" i="17"/>
  <c r="AD42" i="17"/>
  <c r="AD41" i="17"/>
  <c r="AD40" i="17"/>
  <c r="AA46" i="17"/>
  <c r="AA45" i="17"/>
  <c r="AA44" i="17"/>
  <c r="AA43" i="17"/>
  <c r="AA42" i="17"/>
  <c r="AA41" i="17"/>
  <c r="AA40" i="17"/>
  <c r="X46" i="17"/>
  <c r="X45" i="17"/>
  <c r="X44" i="17"/>
  <c r="X43" i="17"/>
  <c r="X42" i="17"/>
  <c r="X41" i="17"/>
  <c r="X40" i="17"/>
  <c r="T46" i="17"/>
  <c r="T45" i="17"/>
  <c r="T44" i="17"/>
  <c r="T43" i="17"/>
  <c r="T42" i="17"/>
  <c r="T41" i="17"/>
  <c r="T40" i="17"/>
  <c r="Q46" i="17"/>
  <c r="Q45" i="17"/>
  <c r="Q44" i="17"/>
  <c r="Q43" i="17"/>
  <c r="Q42" i="17"/>
  <c r="Q41" i="17"/>
  <c r="Q40" i="17"/>
  <c r="N46" i="17"/>
  <c r="N45" i="17"/>
  <c r="N44" i="17"/>
  <c r="N43" i="17"/>
  <c r="N42" i="17"/>
  <c r="N41" i="17"/>
  <c r="N40" i="17"/>
  <c r="J46" i="17"/>
  <c r="J45" i="17"/>
  <c r="J44" i="17"/>
  <c r="J43" i="17"/>
  <c r="J42" i="17"/>
  <c r="J41" i="17"/>
  <c r="J40" i="17"/>
  <c r="G46" i="17"/>
  <c r="G45" i="17"/>
  <c r="G44" i="17"/>
  <c r="G43" i="17"/>
  <c r="G42" i="17"/>
  <c r="G41" i="17"/>
  <c r="G40" i="17"/>
  <c r="D46" i="17"/>
  <c r="D45" i="17"/>
  <c r="D44" i="17"/>
  <c r="D43" i="17"/>
  <c r="D42" i="17"/>
  <c r="D41" i="17"/>
  <c r="D40" i="17"/>
  <c r="AD34" i="17"/>
  <c r="AD33" i="17"/>
  <c r="AD32" i="17"/>
  <c r="AD31" i="17"/>
  <c r="AD30" i="17"/>
  <c r="AD29" i="17"/>
  <c r="AD28" i="17"/>
  <c r="AA34" i="17"/>
  <c r="AA33" i="17"/>
  <c r="AA32" i="17"/>
  <c r="AA31" i="17"/>
  <c r="AA30" i="17"/>
  <c r="AA29" i="17"/>
  <c r="AA28" i="17"/>
  <c r="X34" i="17"/>
  <c r="X33" i="17"/>
  <c r="X32" i="17"/>
  <c r="X31" i="17"/>
  <c r="X30" i="17"/>
  <c r="X29" i="17"/>
  <c r="X28" i="17"/>
  <c r="T34" i="17"/>
  <c r="T33" i="17"/>
  <c r="T32" i="17"/>
  <c r="T31" i="17"/>
  <c r="T30" i="17"/>
  <c r="T29" i="17"/>
  <c r="T28" i="17"/>
  <c r="Q34" i="17"/>
  <c r="Q33" i="17"/>
  <c r="Q32" i="17"/>
  <c r="Q31" i="17"/>
  <c r="Q30" i="17"/>
  <c r="Q29" i="17"/>
  <c r="Q28" i="17"/>
  <c r="N34" i="17"/>
  <c r="N33" i="17"/>
  <c r="N32" i="17"/>
  <c r="N31" i="17"/>
  <c r="N30" i="17"/>
  <c r="N29" i="17"/>
  <c r="N28" i="17"/>
  <c r="J34" i="17"/>
  <c r="J33" i="17"/>
  <c r="J32" i="17"/>
  <c r="J31" i="17"/>
  <c r="J30" i="17"/>
  <c r="J29" i="17"/>
  <c r="J28" i="17"/>
  <c r="G34" i="17"/>
  <c r="G33" i="17"/>
  <c r="G32" i="17"/>
  <c r="G31" i="17"/>
  <c r="G30" i="17"/>
  <c r="G29" i="17"/>
  <c r="G28" i="17"/>
  <c r="D34" i="17"/>
  <c r="D33" i="17"/>
  <c r="D32" i="17"/>
  <c r="D31" i="17"/>
  <c r="D30" i="17"/>
  <c r="D29" i="17"/>
  <c r="D28" i="17"/>
  <c r="AD22" i="17" l="1"/>
  <c r="AD21" i="17"/>
  <c r="AD20" i="17"/>
  <c r="AD19" i="17"/>
  <c r="AD18" i="17"/>
  <c r="AD17" i="17"/>
  <c r="AD16" i="17"/>
  <c r="AA22" i="17"/>
  <c r="AA21" i="17"/>
  <c r="AA20" i="17"/>
  <c r="AA19" i="17"/>
  <c r="AA18" i="17"/>
  <c r="AA17" i="17"/>
  <c r="T22" i="17"/>
  <c r="T21" i="17"/>
  <c r="T20" i="17"/>
  <c r="T19" i="17"/>
  <c r="T18" i="17"/>
  <c r="T17" i="17"/>
  <c r="T16" i="17"/>
  <c r="Q22" i="17"/>
  <c r="Q21" i="17"/>
  <c r="Q20" i="17"/>
  <c r="Q19" i="17"/>
  <c r="Q18" i="17"/>
  <c r="Q17" i="17"/>
  <c r="Q16" i="17"/>
  <c r="AA16" i="17"/>
  <c r="X22" i="17"/>
  <c r="X21" i="17"/>
  <c r="X20" i="17"/>
  <c r="X19" i="17"/>
  <c r="X18" i="17"/>
  <c r="X17" i="17"/>
  <c r="X16" i="17"/>
  <c r="N22" i="17"/>
  <c r="N21" i="17"/>
  <c r="N20" i="17"/>
  <c r="N19" i="17"/>
  <c r="N18" i="17"/>
  <c r="N17" i="17"/>
  <c r="N16" i="17"/>
  <c r="J22" i="17"/>
  <c r="J21" i="17"/>
  <c r="J20" i="17"/>
  <c r="J19" i="17"/>
  <c r="J18" i="17"/>
  <c r="J17" i="17"/>
  <c r="J16" i="17"/>
  <c r="G22" i="17"/>
  <c r="G21" i="17"/>
  <c r="G20" i="17"/>
  <c r="G19" i="17"/>
  <c r="G18" i="17"/>
  <c r="G17" i="17"/>
  <c r="G16" i="17"/>
  <c r="D22" i="17"/>
  <c r="D21" i="17"/>
  <c r="D20" i="17"/>
  <c r="D19" i="17"/>
  <c r="D18" i="17"/>
  <c r="D17" i="17"/>
  <c r="D16" i="17"/>
  <c r="AD10" i="17"/>
  <c r="AD9" i="17"/>
  <c r="AD7" i="17"/>
  <c r="AD6" i="17"/>
  <c r="AD5" i="17"/>
  <c r="AD4" i="17"/>
  <c r="AA10" i="17"/>
  <c r="AA9" i="17"/>
  <c r="AA8" i="17"/>
  <c r="AA7" i="17"/>
  <c r="AA6" i="17"/>
  <c r="AA5" i="17"/>
  <c r="AA4" i="17"/>
  <c r="X10" i="17"/>
  <c r="X9" i="17"/>
  <c r="X8" i="17"/>
  <c r="X7" i="17"/>
  <c r="X6" i="17"/>
  <c r="X5" i="17"/>
  <c r="X4" i="17"/>
  <c r="T10" i="17"/>
  <c r="T9" i="17"/>
  <c r="T8" i="17"/>
  <c r="T7" i="17"/>
  <c r="T6" i="17"/>
  <c r="T5" i="17"/>
  <c r="T4" i="17"/>
  <c r="Q10" i="17"/>
  <c r="Q9" i="17"/>
  <c r="Q8" i="17"/>
  <c r="Q7" i="17"/>
  <c r="Q6" i="17"/>
  <c r="Q5" i="17"/>
  <c r="Q4" i="17"/>
  <c r="N10" i="17"/>
  <c r="N9" i="17"/>
  <c r="N8" i="17"/>
  <c r="N7" i="17"/>
  <c r="N6" i="17"/>
  <c r="N5" i="17"/>
  <c r="N4" i="17"/>
  <c r="J10" i="17"/>
  <c r="J9" i="17"/>
  <c r="J8" i="17"/>
  <c r="J7" i="17"/>
  <c r="J6" i="17"/>
  <c r="J5" i="17"/>
  <c r="J4" i="17"/>
  <c r="G10" i="17"/>
  <c r="G9" i="17"/>
  <c r="G8" i="17"/>
  <c r="G7" i="17"/>
  <c r="G6" i="17"/>
  <c r="G5" i="17"/>
  <c r="G4" i="17"/>
  <c r="D10" i="17"/>
  <c r="D9" i="17"/>
  <c r="D8" i="17"/>
  <c r="D7" i="17"/>
  <c r="D6" i="17"/>
  <c r="D5" i="17"/>
  <c r="D4" i="17"/>
  <c r="J35" i="16"/>
  <c r="J34" i="16"/>
  <c r="J33" i="16"/>
  <c r="J32" i="16"/>
  <c r="J31" i="16"/>
  <c r="L35" i="16"/>
  <c r="AE7" i="16" s="1"/>
  <c r="L34" i="16"/>
  <c r="AD7" i="16" s="1"/>
  <c r="L33" i="16"/>
  <c r="AB7" i="16" s="1"/>
  <c r="L32" i="16"/>
  <c r="Z7" i="16" s="1"/>
  <c r="L31" i="16"/>
  <c r="AC7" i="16" s="1"/>
  <c r="L30" i="16"/>
  <c r="AA7" i="16" s="1"/>
  <c r="L29" i="16"/>
  <c r="Y7" i="16" s="1"/>
  <c r="I29" i="16"/>
  <c r="D35" i="16"/>
  <c r="D34" i="16"/>
  <c r="D33" i="16"/>
  <c r="D32" i="16"/>
  <c r="D31" i="16"/>
  <c r="F35" i="16"/>
  <c r="AE6" i="16" s="1"/>
  <c r="F34" i="16"/>
  <c r="AD6" i="16" s="1"/>
  <c r="F33" i="16"/>
  <c r="AB6" i="16" s="1"/>
  <c r="F32" i="16"/>
  <c r="Z6" i="16" s="1"/>
  <c r="F31" i="16"/>
  <c r="AC6" i="16" s="1"/>
  <c r="F30" i="16"/>
  <c r="AA6" i="16" s="1"/>
  <c r="F29" i="16"/>
  <c r="Y6" i="16" s="1"/>
  <c r="C29" i="16"/>
  <c r="P9" i="16"/>
  <c r="P8" i="16"/>
  <c r="P7" i="16"/>
  <c r="P6" i="16"/>
  <c r="P5" i="16"/>
  <c r="R9" i="16"/>
  <c r="AE5" i="16" s="1"/>
  <c r="R8" i="16"/>
  <c r="AD5" i="16" s="1"/>
  <c r="R7" i="16"/>
  <c r="AB5" i="16" s="1"/>
  <c r="R6" i="16"/>
  <c r="Z5" i="16" s="1"/>
  <c r="R5" i="16"/>
  <c r="AC5" i="16" s="1"/>
  <c r="R4" i="16"/>
  <c r="AA5" i="16" s="1"/>
  <c r="R3" i="16"/>
  <c r="Y5" i="16" s="1"/>
  <c r="O3" i="16"/>
  <c r="J9" i="16"/>
  <c r="J8" i="16"/>
  <c r="J7" i="16"/>
  <c r="J6" i="16"/>
  <c r="J5" i="16"/>
  <c r="L9" i="16"/>
  <c r="AE4" i="16" s="1"/>
  <c r="L8" i="16"/>
  <c r="AD4" i="16" s="1"/>
  <c r="L7" i="16"/>
  <c r="AB4" i="16" s="1"/>
  <c r="L6" i="16"/>
  <c r="Z4" i="16" s="1"/>
  <c r="L5" i="16"/>
  <c r="AC4" i="16" s="1"/>
  <c r="L4" i="16"/>
  <c r="AA4" i="16" s="1"/>
  <c r="L3" i="16"/>
  <c r="Y4" i="16" s="1"/>
  <c r="I3" i="16"/>
  <c r="D9" i="16"/>
  <c r="D8" i="16"/>
  <c r="D7" i="16"/>
  <c r="D6" i="16"/>
  <c r="D5" i="16"/>
  <c r="F9" i="16"/>
  <c r="AE3" i="16" s="1"/>
  <c r="F8" i="16"/>
  <c r="AD3" i="16" s="1"/>
  <c r="F7" i="16"/>
  <c r="AB3" i="16" s="1"/>
  <c r="F6" i="16"/>
  <c r="Z3" i="16" s="1"/>
  <c r="F5" i="16"/>
  <c r="AC3" i="16" s="1"/>
  <c r="F4" i="16"/>
  <c r="AA3" i="16" s="1"/>
  <c r="F3" i="16"/>
  <c r="Y3" i="16" s="1"/>
  <c r="C3" i="16"/>
  <c r="L36" i="16" l="1"/>
  <c r="U14" i="16" s="1"/>
  <c r="F10" i="16"/>
  <c r="U10" i="16" s="1"/>
  <c r="R10" i="16"/>
  <c r="U12" i="16" s="1"/>
  <c r="F36" i="16"/>
  <c r="U13" i="16" s="1"/>
  <c r="L10" i="16"/>
  <c r="U11" i="16" s="1"/>
  <c r="Q32" i="15"/>
  <c r="Q31" i="15"/>
  <c r="Q30" i="15"/>
  <c r="Q29" i="15"/>
  <c r="Q28" i="15"/>
  <c r="S32" i="15"/>
  <c r="AL9" i="15" s="1"/>
  <c r="S31" i="15"/>
  <c r="AK9" i="15" s="1"/>
  <c r="S30" i="15"/>
  <c r="AI9" i="15" s="1"/>
  <c r="S29" i="15"/>
  <c r="AG9" i="15" s="1"/>
  <c r="S28" i="15"/>
  <c r="AJ9" i="15" s="1"/>
  <c r="S27" i="15"/>
  <c r="AH9" i="15" s="1"/>
  <c r="S26" i="15"/>
  <c r="AF9" i="15" s="1"/>
  <c r="J26" i="15"/>
  <c r="K32" i="15"/>
  <c r="K31" i="15"/>
  <c r="K30" i="15"/>
  <c r="K29" i="15"/>
  <c r="K28" i="15"/>
  <c r="M32" i="15"/>
  <c r="AL7" i="15" s="1"/>
  <c r="M31" i="15"/>
  <c r="AK7" i="15" s="1"/>
  <c r="M30" i="15"/>
  <c r="AI7" i="15" s="1"/>
  <c r="M29" i="15"/>
  <c r="AG7" i="15" s="1"/>
  <c r="M28" i="15"/>
  <c r="AJ7" i="15" s="1"/>
  <c r="M27" i="15"/>
  <c r="AH7" i="15" s="1"/>
  <c r="M26" i="15"/>
  <c r="AF7" i="15" s="1"/>
  <c r="E32" i="15"/>
  <c r="E31" i="15"/>
  <c r="E30" i="15"/>
  <c r="E29" i="15"/>
  <c r="E28" i="15"/>
  <c r="G32" i="15"/>
  <c r="AL4" i="15" s="1"/>
  <c r="G31" i="15"/>
  <c r="AK4" i="15" s="1"/>
  <c r="G30" i="15"/>
  <c r="AI4" i="15" s="1"/>
  <c r="G29" i="15"/>
  <c r="AG4" i="15" s="1"/>
  <c r="G28" i="15"/>
  <c r="AJ4" i="15" s="1"/>
  <c r="G27" i="15"/>
  <c r="AH4" i="15" s="1"/>
  <c r="G26" i="15"/>
  <c r="AF4" i="15" s="1"/>
  <c r="D26" i="15"/>
  <c r="Q9" i="15"/>
  <c r="Q8" i="15"/>
  <c r="Q7" i="15"/>
  <c r="Q6" i="15"/>
  <c r="Q5" i="15"/>
  <c r="S9" i="15"/>
  <c r="AL8" i="15" s="1"/>
  <c r="S8" i="15"/>
  <c r="AK8" i="15" s="1"/>
  <c r="S7" i="15"/>
  <c r="AI8" i="15" s="1"/>
  <c r="S6" i="15"/>
  <c r="AG8" i="15" s="1"/>
  <c r="S5" i="15"/>
  <c r="AJ8" i="15" s="1"/>
  <c r="S4" i="15"/>
  <c r="AH8" i="15" s="1"/>
  <c r="S3" i="15"/>
  <c r="AF8" i="15" s="1"/>
  <c r="P3" i="15"/>
  <c r="K9" i="15"/>
  <c r="K8" i="15"/>
  <c r="K7" i="15"/>
  <c r="K6" i="15"/>
  <c r="K5" i="15"/>
  <c r="M9" i="15"/>
  <c r="AL5" i="15" s="1"/>
  <c r="M8" i="15"/>
  <c r="AK5" i="15" s="1"/>
  <c r="M7" i="15"/>
  <c r="AI5" i="15" s="1"/>
  <c r="M6" i="15"/>
  <c r="AG5" i="15" s="1"/>
  <c r="M5" i="15"/>
  <c r="AJ5" i="15" s="1"/>
  <c r="M4" i="15"/>
  <c r="AH5" i="15" s="1"/>
  <c r="M3" i="15"/>
  <c r="AF5" i="15" s="1"/>
  <c r="J3" i="15"/>
  <c r="E9" i="15"/>
  <c r="E8" i="15"/>
  <c r="E7" i="15"/>
  <c r="E6" i="15"/>
  <c r="E5" i="15"/>
  <c r="G9" i="15"/>
  <c r="AL3" i="15" s="1"/>
  <c r="G8" i="15"/>
  <c r="AK3" i="15" s="1"/>
  <c r="G7" i="15"/>
  <c r="AI3" i="15" s="1"/>
  <c r="G6" i="15"/>
  <c r="AG3" i="15" s="1"/>
  <c r="G5" i="15"/>
  <c r="AJ3" i="15" s="1"/>
  <c r="G4" i="15"/>
  <c r="AH3" i="15" s="1"/>
  <c r="G3" i="15"/>
  <c r="AF3" i="15" s="1"/>
  <c r="D3" i="15"/>
  <c r="V14" i="16" l="1"/>
  <c r="V10" i="16"/>
  <c r="V13" i="16"/>
  <c r="V11" i="16"/>
  <c r="V12" i="16"/>
  <c r="G33" i="15"/>
  <c r="AB17" i="15" s="1"/>
  <c r="G10" i="15"/>
  <c r="AB16" i="15" s="1"/>
  <c r="M10" i="15"/>
  <c r="AB18" i="15" s="1"/>
  <c r="S10" i="15"/>
  <c r="AB21" i="15" s="1"/>
  <c r="S33" i="15"/>
  <c r="AB22" i="15" s="1"/>
  <c r="M33" i="15"/>
  <c r="AB20" i="15" s="1"/>
  <c r="J31" i="6"/>
  <c r="D31" i="6"/>
  <c r="D30" i="6"/>
  <c r="D29" i="6"/>
  <c r="D28" i="6"/>
  <c r="D27" i="6"/>
  <c r="AD47" i="17"/>
  <c r="AD48" i="17" s="1"/>
  <c r="AA47" i="17"/>
  <c r="AA48" i="17" s="1"/>
  <c r="X47" i="17"/>
  <c r="T47" i="17"/>
  <c r="T48" i="17" s="1"/>
  <c r="Q47" i="17"/>
  <c r="Q48" i="17" s="1"/>
  <c r="N47" i="17"/>
  <c r="J47" i="17"/>
  <c r="J48" i="17" s="1"/>
  <c r="G47" i="17"/>
  <c r="G48" i="17" s="1"/>
  <c r="D47" i="17"/>
  <c r="D48" i="17" s="1"/>
  <c r="J35" i="17"/>
  <c r="J36" i="17" s="1"/>
  <c r="G35" i="17"/>
  <c r="G36" i="17" s="1"/>
  <c r="D35" i="17"/>
  <c r="T35" i="17"/>
  <c r="T36" i="17" s="1"/>
  <c r="Q35" i="17"/>
  <c r="Q36" i="17" s="1"/>
  <c r="N35" i="17"/>
  <c r="AD35" i="17"/>
  <c r="AD36" i="17" s="1"/>
  <c r="AA35" i="17"/>
  <c r="AA36" i="17" s="1"/>
  <c r="X35" i="17"/>
  <c r="X36" i="17" s="1"/>
  <c r="AD23" i="17"/>
  <c r="AD24" i="17" s="1"/>
  <c r="AA23" i="17"/>
  <c r="AA24" i="17" s="1"/>
  <c r="X23" i="17"/>
  <c r="T23" i="17"/>
  <c r="T24" i="17" s="1"/>
  <c r="Q23" i="17"/>
  <c r="Q24" i="17" s="1"/>
  <c r="N23" i="17"/>
  <c r="J23" i="17"/>
  <c r="J24" i="17" s="1"/>
  <c r="G23" i="17"/>
  <c r="G24" i="17" s="1"/>
  <c r="D23" i="17"/>
  <c r="AD11" i="17"/>
  <c r="AD12" i="17" s="1"/>
  <c r="AA11" i="17"/>
  <c r="AA12" i="17" s="1"/>
  <c r="X11" i="17"/>
  <c r="T11" i="17"/>
  <c r="T12" i="17" s="1"/>
  <c r="Q11" i="17"/>
  <c r="Q12" i="17" s="1"/>
  <c r="N11" i="17"/>
  <c r="N12" i="17" s="1"/>
  <c r="J11" i="17"/>
  <c r="J12" i="17" s="1"/>
  <c r="G11" i="17"/>
  <c r="G12" i="17" s="1"/>
  <c r="D11" i="17"/>
  <c r="D12" i="17" s="1"/>
  <c r="AC23" i="15" l="1"/>
  <c r="AC19" i="15"/>
  <c r="AC22" i="15"/>
  <c r="AC18" i="15"/>
  <c r="AC25" i="15"/>
  <c r="AC21" i="15"/>
  <c r="AC17" i="15"/>
  <c r="AC24" i="15"/>
  <c r="AC20" i="15"/>
  <c r="AC16" i="15"/>
  <c r="X48" i="17"/>
  <c r="N48" i="17"/>
  <c r="N36" i="17"/>
  <c r="D36" i="17"/>
  <c r="X24" i="17"/>
  <c r="N24" i="17"/>
  <c r="D24" i="17"/>
  <c r="X12" i="17"/>
  <c r="I69" i="6"/>
  <c r="O48" i="6"/>
  <c r="C69" i="6"/>
  <c r="I25" i="6"/>
  <c r="O25" i="6"/>
  <c r="C48" i="6"/>
  <c r="I48" i="6"/>
  <c r="C25" i="6"/>
  <c r="O3" i="6"/>
  <c r="C3" i="6" l="1"/>
  <c r="I3" i="6" l="1"/>
  <c r="D9" i="6" l="1"/>
  <c r="D8" i="6"/>
  <c r="D7" i="6"/>
  <c r="D6" i="6"/>
  <c r="D5" i="6"/>
  <c r="F9" i="6"/>
  <c r="F8" i="6"/>
  <c r="F7" i="6"/>
  <c r="F6" i="6"/>
  <c r="F5" i="6"/>
  <c r="F4" i="6"/>
  <c r="F3" i="6"/>
  <c r="D10" i="6" l="1"/>
  <c r="U16" i="6" s="1"/>
  <c r="D6" i="11"/>
  <c r="C4" i="11"/>
  <c r="R9" i="11"/>
  <c r="AP6" i="11" s="1"/>
  <c r="V26" i="6" l="1"/>
  <c r="V22" i="6"/>
  <c r="V18" i="6"/>
  <c r="V25" i="6"/>
  <c r="V21" i="6"/>
  <c r="V17" i="6"/>
  <c r="V24" i="6"/>
  <c r="V20" i="6"/>
  <c r="V16" i="6"/>
  <c r="V23" i="6"/>
  <c r="V19" i="6"/>
  <c r="AB10" i="11"/>
  <c r="AB9" i="11"/>
  <c r="AB8" i="11"/>
  <c r="AB7" i="11"/>
  <c r="AB6" i="11"/>
  <c r="AD10" i="11"/>
  <c r="AQ8" i="11" s="1"/>
  <c r="AD9" i="11"/>
  <c r="AP8" i="11" s="1"/>
  <c r="AD8" i="11"/>
  <c r="AO8" i="11" s="1"/>
  <c r="AD7" i="11"/>
  <c r="AN8" i="11" s="1"/>
  <c r="AD6" i="11"/>
  <c r="AM8" i="11" s="1"/>
  <c r="AD5" i="11"/>
  <c r="AL8" i="11" s="1"/>
  <c r="AD4" i="11"/>
  <c r="AK8" i="11" s="1"/>
  <c r="V9" i="11"/>
  <c r="V8" i="11"/>
  <c r="V7" i="11"/>
  <c r="V6" i="11"/>
  <c r="X10" i="11"/>
  <c r="AQ7" i="11" s="1"/>
  <c r="X9" i="11"/>
  <c r="AP7" i="11" s="1"/>
  <c r="X8" i="11"/>
  <c r="AO7" i="11" s="1"/>
  <c r="X7" i="11"/>
  <c r="AN7" i="11" s="1"/>
  <c r="X6" i="11"/>
  <c r="AM7" i="11" s="1"/>
  <c r="X5" i="11"/>
  <c r="AL7" i="11" s="1"/>
  <c r="X4" i="11"/>
  <c r="AK7" i="11" s="1"/>
  <c r="P10" i="11"/>
  <c r="P9" i="11"/>
  <c r="P8" i="11"/>
  <c r="P7" i="11"/>
  <c r="P6" i="11"/>
  <c r="R10" i="11"/>
  <c r="AQ6" i="11" s="1"/>
  <c r="R8" i="11"/>
  <c r="AO6" i="11" s="1"/>
  <c r="R7" i="11"/>
  <c r="AN6" i="11" s="1"/>
  <c r="R6" i="11"/>
  <c r="AM6" i="11" s="1"/>
  <c r="R5" i="11"/>
  <c r="AL6" i="11" s="1"/>
  <c r="R4" i="11"/>
  <c r="AK6" i="11" s="1"/>
  <c r="J10" i="11"/>
  <c r="J9" i="11"/>
  <c r="J8" i="11"/>
  <c r="J7" i="11"/>
  <c r="J6" i="11"/>
  <c r="L10" i="11"/>
  <c r="AQ5" i="11" s="1"/>
  <c r="L9" i="11"/>
  <c r="AP5" i="11" s="1"/>
  <c r="L8" i="11"/>
  <c r="AO5" i="11" s="1"/>
  <c r="L7" i="11"/>
  <c r="AN5" i="11" s="1"/>
  <c r="L6" i="11"/>
  <c r="AM5" i="11" s="1"/>
  <c r="L5" i="11"/>
  <c r="AL5" i="11" s="1"/>
  <c r="L4" i="11"/>
  <c r="AK5" i="11" s="1"/>
  <c r="D10" i="11"/>
  <c r="D9" i="11"/>
  <c r="D8" i="11"/>
  <c r="D7" i="11"/>
  <c r="F10" i="11"/>
  <c r="AQ4" i="11" s="1"/>
  <c r="F9" i="11"/>
  <c r="AP4" i="11" s="1"/>
  <c r="F8" i="11"/>
  <c r="AO4" i="11" s="1"/>
  <c r="F7" i="11"/>
  <c r="AN4" i="11" s="1"/>
  <c r="F6" i="11"/>
  <c r="AM4" i="11" s="1"/>
  <c r="F5" i="11"/>
  <c r="AL4" i="11" s="1"/>
  <c r="F4" i="11"/>
  <c r="AK4" i="11" s="1"/>
  <c r="AA4" i="11"/>
  <c r="U4" i="11"/>
  <c r="O4" i="11"/>
  <c r="I4" i="11"/>
  <c r="F11" i="11" l="1"/>
  <c r="AG11" i="11" s="1"/>
  <c r="L11" i="11"/>
  <c r="AG12" i="11" s="1"/>
  <c r="R11" i="11"/>
  <c r="AG13" i="11" s="1"/>
  <c r="X11" i="11"/>
  <c r="AG14" i="11" s="1"/>
  <c r="AD11" i="11"/>
  <c r="AG15" i="11" s="1"/>
  <c r="AH12" i="11" l="1"/>
  <c r="AH15" i="11"/>
  <c r="AH11" i="11"/>
  <c r="AH14" i="11"/>
  <c r="AH13" i="11"/>
  <c r="F4" i="14"/>
  <c r="S4" i="14" s="1"/>
  <c r="J10" i="14"/>
  <c r="J9" i="14"/>
  <c r="J8" i="14"/>
  <c r="J7" i="14"/>
  <c r="J6" i="14"/>
  <c r="L5" i="14"/>
  <c r="T5" i="14" s="1"/>
  <c r="L10" i="14"/>
  <c r="Y5" i="14" s="1"/>
  <c r="L9" i="14"/>
  <c r="X5" i="14" s="1"/>
  <c r="L8" i="14"/>
  <c r="W5" i="14" s="1"/>
  <c r="L7" i="14"/>
  <c r="V5" i="14" s="1"/>
  <c r="L6" i="14"/>
  <c r="U5" i="14" s="1"/>
  <c r="L4" i="14"/>
  <c r="S5" i="14" s="1"/>
  <c r="I4" i="14"/>
  <c r="D10" i="14"/>
  <c r="D9" i="14"/>
  <c r="D8" i="14"/>
  <c r="D7" i="14"/>
  <c r="D6" i="14"/>
  <c r="F10" i="14"/>
  <c r="Y4" i="14" s="1"/>
  <c r="F9" i="14"/>
  <c r="X4" i="14" s="1"/>
  <c r="F8" i="14"/>
  <c r="W4" i="14" s="1"/>
  <c r="F7" i="14"/>
  <c r="V4" i="14" s="1"/>
  <c r="F6" i="14"/>
  <c r="U4" i="14" s="1"/>
  <c r="F5" i="14"/>
  <c r="T4" i="14" s="1"/>
  <c r="C4" i="14"/>
  <c r="L11" i="14" l="1"/>
  <c r="O9" i="14" s="1"/>
  <c r="F11" i="14"/>
  <c r="O8" i="14" s="1"/>
  <c r="R5" i="12"/>
  <c r="Q5" i="12"/>
  <c r="P5" i="12"/>
  <c r="O5" i="12"/>
  <c r="N5" i="12"/>
  <c r="F38" i="12"/>
  <c r="E38" i="12"/>
  <c r="D38" i="12"/>
  <c r="C38" i="12"/>
  <c r="B38" i="12"/>
  <c r="R20" i="12"/>
  <c r="Q20" i="12"/>
  <c r="P20" i="12"/>
  <c r="O20" i="12"/>
  <c r="N20" i="12"/>
  <c r="L20" i="12"/>
  <c r="K20" i="12"/>
  <c r="J20" i="12"/>
  <c r="I20" i="12"/>
  <c r="H20" i="12"/>
  <c r="F20" i="12"/>
  <c r="E20" i="12"/>
  <c r="D20" i="12"/>
  <c r="C20" i="12"/>
  <c r="B20" i="12"/>
  <c r="L5" i="12"/>
  <c r="K5" i="12"/>
  <c r="J5" i="12"/>
  <c r="I5" i="12"/>
  <c r="H5" i="12"/>
  <c r="E5" i="12"/>
  <c r="F5" i="12"/>
  <c r="D5" i="12"/>
  <c r="C5" i="12"/>
  <c r="B5" i="12"/>
  <c r="O38" i="12"/>
  <c r="N38" i="12"/>
  <c r="M38" i="12"/>
  <c r="L38" i="12"/>
  <c r="K38" i="12"/>
  <c r="J38" i="12"/>
  <c r="I38" i="12"/>
  <c r="J75" i="6"/>
  <c r="J74" i="6"/>
  <c r="J73" i="6"/>
  <c r="J72" i="6"/>
  <c r="J71" i="6"/>
  <c r="L75" i="6"/>
  <c r="L74" i="6"/>
  <c r="L73" i="6"/>
  <c r="L72" i="6"/>
  <c r="L71" i="6"/>
  <c r="L70" i="6"/>
  <c r="L69" i="6"/>
  <c r="F75" i="6"/>
  <c r="D75" i="6"/>
  <c r="D74" i="6"/>
  <c r="D73" i="6"/>
  <c r="D72" i="6"/>
  <c r="D71" i="6"/>
  <c r="P54" i="6"/>
  <c r="P53" i="6"/>
  <c r="P52" i="6"/>
  <c r="P51" i="6"/>
  <c r="P50" i="6"/>
  <c r="R54" i="6"/>
  <c r="R53" i="6"/>
  <c r="R52" i="6"/>
  <c r="R51" i="6"/>
  <c r="R50" i="6"/>
  <c r="R49" i="6"/>
  <c r="R48" i="6"/>
  <c r="F74" i="6"/>
  <c r="F73" i="6"/>
  <c r="F72" i="6"/>
  <c r="F71" i="6"/>
  <c r="F70" i="6"/>
  <c r="F69" i="6"/>
  <c r="J30" i="6"/>
  <c r="J29" i="6"/>
  <c r="J28" i="6"/>
  <c r="J27" i="6"/>
  <c r="L31" i="6"/>
  <c r="L30" i="6"/>
  <c r="L29" i="6"/>
  <c r="L28" i="6"/>
  <c r="L27" i="6"/>
  <c r="L26" i="6"/>
  <c r="L25" i="6"/>
  <c r="P31" i="6"/>
  <c r="P30" i="6"/>
  <c r="P29" i="6"/>
  <c r="P28" i="6"/>
  <c r="P27" i="6"/>
  <c r="R31" i="6"/>
  <c r="R30" i="6"/>
  <c r="R29" i="6"/>
  <c r="R28" i="6"/>
  <c r="R27" i="6"/>
  <c r="R26" i="6"/>
  <c r="R25" i="6"/>
  <c r="P8" i="14" l="1"/>
  <c r="P9" i="14"/>
  <c r="H38" i="12"/>
  <c r="L39" i="12" s="1"/>
  <c r="P32" i="6"/>
  <c r="U20" i="6" s="1"/>
  <c r="D76" i="6"/>
  <c r="U24" i="6" s="1"/>
  <c r="P55" i="6"/>
  <c r="U25" i="6" s="1"/>
  <c r="J32" i="6"/>
  <c r="U21" i="6" s="1"/>
  <c r="J76" i="6"/>
  <c r="U26" i="6" s="1"/>
  <c r="J54" i="6"/>
  <c r="J53" i="6"/>
  <c r="J52" i="6"/>
  <c r="J51" i="6"/>
  <c r="J50" i="6"/>
  <c r="D50" i="6"/>
  <c r="L54" i="6"/>
  <c r="L53" i="6"/>
  <c r="L52" i="6"/>
  <c r="L51" i="6"/>
  <c r="L50" i="6"/>
  <c r="L49" i="6"/>
  <c r="D54" i="6"/>
  <c r="D53" i="6"/>
  <c r="D52" i="6"/>
  <c r="D51" i="6"/>
  <c r="L48" i="6"/>
  <c r="F54" i="6"/>
  <c r="F53" i="6"/>
  <c r="F52" i="6"/>
  <c r="F51" i="6"/>
  <c r="F50" i="6"/>
  <c r="F49" i="6"/>
  <c r="F48" i="6"/>
  <c r="F31" i="6"/>
  <c r="F30" i="6"/>
  <c r="F29" i="6"/>
  <c r="F28" i="6"/>
  <c r="F27" i="6"/>
  <c r="F26" i="6"/>
  <c r="F25" i="6"/>
  <c r="P9" i="6"/>
  <c r="P8" i="6"/>
  <c r="P7" i="6"/>
  <c r="P6" i="6"/>
  <c r="P5" i="6"/>
  <c r="R9" i="6"/>
  <c r="R8" i="6"/>
  <c r="R7" i="6"/>
  <c r="R6" i="6"/>
  <c r="R5" i="6"/>
  <c r="R4" i="6"/>
  <c r="R3" i="6"/>
  <c r="J9" i="6"/>
  <c r="J8" i="6"/>
  <c r="J7" i="6"/>
  <c r="J6" i="6"/>
  <c r="J5" i="6"/>
  <c r="L9" i="6"/>
  <c r="L8" i="6"/>
  <c r="L7" i="6"/>
  <c r="L6" i="6"/>
  <c r="L5" i="6"/>
  <c r="L4" i="6"/>
  <c r="L3" i="6"/>
  <c r="J10" i="6" l="1"/>
  <c r="U17" i="6" s="1"/>
  <c r="D32" i="6"/>
  <c r="U19" i="6" s="1"/>
  <c r="D55" i="6"/>
  <c r="U22" i="6" s="1"/>
  <c r="M39" i="12"/>
  <c r="I39" i="12"/>
  <c r="N39" i="12"/>
  <c r="J39" i="12"/>
  <c r="O39" i="12"/>
  <c r="K39" i="12"/>
  <c r="H39" i="12"/>
  <c r="P10" i="6"/>
  <c r="U18" i="6" s="1"/>
  <c r="J55" i="6"/>
  <c r="U23" i="6" s="1"/>
</calcChain>
</file>

<file path=xl/sharedStrings.xml><?xml version="1.0" encoding="utf-8"?>
<sst xmlns="http://schemas.openxmlformats.org/spreadsheetml/2006/main" count="5733" uniqueCount="183">
  <si>
    <t>DATE 1</t>
  </si>
  <si>
    <t>NUM</t>
  </si>
  <si>
    <t>period</t>
  </si>
  <si>
    <t>Time</t>
  </si>
  <si>
    <t>Symbol</t>
  </si>
  <si>
    <t>Setup</t>
  </si>
  <si>
    <t>TCDP</t>
  </si>
  <si>
    <t>OCDP</t>
  </si>
  <si>
    <t>TCDW</t>
  </si>
  <si>
    <t>TCDL</t>
  </si>
  <si>
    <t>OCDL</t>
  </si>
  <si>
    <t>OCDW</t>
  </si>
  <si>
    <t>TCDC</t>
  </si>
  <si>
    <t>OCDC</t>
  </si>
  <si>
    <t>TCP</t>
  </si>
  <si>
    <t>OCP</t>
  </si>
  <si>
    <t>RE</t>
  </si>
  <si>
    <t>level</t>
  </si>
  <si>
    <t>50-60</t>
  </si>
  <si>
    <t>60-70</t>
  </si>
  <si>
    <t>70-80</t>
  </si>
  <si>
    <t>80-90</t>
  </si>
  <si>
    <t>position</t>
  </si>
  <si>
    <t>Sell</t>
  </si>
  <si>
    <t>Buy</t>
  </si>
  <si>
    <t>Risk/Reward</t>
  </si>
  <si>
    <t>Close Reason</t>
  </si>
  <si>
    <t>TP</t>
  </si>
  <si>
    <t>TC</t>
  </si>
  <si>
    <t>SL</t>
  </si>
  <si>
    <t>PS</t>
  </si>
  <si>
    <t>LS</t>
  </si>
  <si>
    <t>RF</t>
  </si>
  <si>
    <t>OT +</t>
  </si>
  <si>
    <t>OT -</t>
  </si>
  <si>
    <t>After Close 1</t>
  </si>
  <si>
    <t>SF</t>
  </si>
  <si>
    <t>DC</t>
  </si>
  <si>
    <t>Keep Went</t>
  </si>
  <si>
    <t>RNG</t>
  </si>
  <si>
    <t>After Close 2</t>
  </si>
  <si>
    <t>Color</t>
  </si>
  <si>
    <t>Trend Back</t>
  </si>
  <si>
    <t>Total Trade</t>
  </si>
  <si>
    <t>Win Rate</t>
  </si>
  <si>
    <t>After Close</t>
  </si>
  <si>
    <t xml:space="preserve">Total Result </t>
  </si>
  <si>
    <t>Stup</t>
  </si>
  <si>
    <t>Result</t>
  </si>
  <si>
    <t>Number of Trade</t>
  </si>
  <si>
    <t>MONDAY</t>
  </si>
  <si>
    <t>TUESDAY</t>
  </si>
  <si>
    <t>WEDNESDAY</t>
  </si>
  <si>
    <t>THURSDAY</t>
  </si>
  <si>
    <t>FRIDAY</t>
  </si>
  <si>
    <t>DAY</t>
  </si>
  <si>
    <t>COMPLEX D</t>
  </si>
  <si>
    <t>COMPLEX H</t>
  </si>
  <si>
    <t>Correction</t>
  </si>
  <si>
    <t>90-100</t>
  </si>
  <si>
    <t xml:space="preserve">After Close </t>
  </si>
  <si>
    <t xml:space="preserve">Balance Change </t>
  </si>
  <si>
    <t>1-10</t>
  </si>
  <si>
    <t>11-20</t>
  </si>
  <si>
    <t>21-31</t>
  </si>
  <si>
    <t>Period</t>
  </si>
  <si>
    <t>Complex D</t>
  </si>
  <si>
    <t>Complex H1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</si>
  <si>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</si>
  <si>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</si>
  <si>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</si>
  <si>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</si>
  <si>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</si>
  <si>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</si>
  <si>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</si>
  <si>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</si>
  <si>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</si>
  <si>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</si>
  <si>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</si>
  <si>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</si>
  <si>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</si>
  <si>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r>
      <rPr>
        <sz val="24"/>
        <color theme="0"/>
        <rFont val="Calibri"/>
        <family val="2"/>
        <scheme val="minor"/>
      </rPr>
      <t xml:space="preserve">آکادمی معامله گری ابوالفضل حیدرزادگان(ژورنال اختصاصی </t>
    </r>
    <r>
      <rPr>
        <sz val="24"/>
        <color rgb="FFD7D200"/>
        <rFont val="Calibri"/>
        <family val="2"/>
        <scheme val="minor"/>
      </rPr>
      <t xml:space="preserve">پلن پشتیبانی </t>
    </r>
    <r>
      <rPr>
        <sz val="24"/>
        <color theme="0"/>
        <rFont val="Calibri"/>
        <family val="2"/>
        <scheme val="minor"/>
      </rPr>
      <t>معامله گر واقعی)</t>
    </r>
  </si>
  <si>
    <t>abolfazl.heydarzadegan</t>
  </si>
  <si>
    <t>abolfazlheydarzadegan</t>
  </si>
  <si>
    <t>+989175880095</t>
  </si>
  <si>
    <t>Abolfazl Heydarzadegan</t>
  </si>
  <si>
    <r>
      <t xml:space="preserve">بدون برام خیلی ارزشمندی و آرزوی قلبی من </t>
    </r>
    <r>
      <rPr>
        <b/>
        <sz val="20"/>
        <color rgb="FFD7D200"/>
        <rFont val="Calibri"/>
        <family val="2"/>
        <scheme val="minor"/>
      </rPr>
      <t>رشد</t>
    </r>
    <r>
      <rPr>
        <sz val="20"/>
        <color theme="0"/>
        <rFont val="Calibri"/>
        <family val="2"/>
        <scheme val="minor"/>
      </rPr>
      <t xml:space="preserve"> شخصیت و</t>
    </r>
    <r>
      <rPr>
        <b/>
        <sz val="20"/>
        <color rgb="FFD7D200"/>
        <rFont val="Calibri"/>
        <family val="2"/>
        <scheme val="minor"/>
      </rPr>
      <t xml:space="preserve"> پذیرش </t>
    </r>
    <r>
      <rPr>
        <sz val="20"/>
        <color theme="0"/>
        <rFont val="Calibri"/>
        <family val="2"/>
        <scheme val="minor"/>
      </rPr>
      <t xml:space="preserve">واقعیات بازارهای مالی از سمت </t>
    </r>
    <r>
      <rPr>
        <b/>
        <sz val="20"/>
        <color rgb="FFD7D200"/>
        <rFont val="Calibri"/>
        <family val="2"/>
        <scheme val="minor"/>
      </rPr>
      <t>تو</t>
    </r>
    <r>
      <rPr>
        <sz val="20"/>
        <color theme="0"/>
        <rFont val="Calibri"/>
        <family val="2"/>
        <scheme val="minor"/>
      </rPr>
      <t xml:space="preserve"> هست....</t>
    </r>
  </si>
  <si>
    <t>Month Num</t>
  </si>
  <si>
    <t>Abolfazl Heydarzadegan Academy</t>
  </si>
  <si>
    <t>Life is a mirror and will reflect back to the thinker what he thinks into it......</t>
  </si>
  <si>
    <t>Num</t>
  </si>
  <si>
    <t>Balance Change</t>
  </si>
  <si>
    <t>Doubting Setups</t>
  </si>
  <si>
    <t>Reason</t>
  </si>
  <si>
    <t>Monthe 1</t>
  </si>
  <si>
    <t>Coach's opinion</t>
  </si>
  <si>
    <t>تخطی از پلن معاملاتی</t>
  </si>
  <si>
    <t xml:space="preserve"> ارسال ژورنال معاملات</t>
  </si>
  <si>
    <t>Coach's score</t>
  </si>
  <si>
    <t>Coach's comment</t>
  </si>
  <si>
    <t xml:space="preserve"> تعامل با مربی</t>
  </si>
  <si>
    <t>تعامل با استاد</t>
  </si>
  <si>
    <t>Monthe 2</t>
  </si>
  <si>
    <t>Monthe 3</t>
  </si>
  <si>
    <t>Monthe 4</t>
  </si>
  <si>
    <t>Monthe 5</t>
  </si>
  <si>
    <t>Monthe 9</t>
  </si>
  <si>
    <t>Monthe 8</t>
  </si>
  <si>
    <t>Monthe 7</t>
  </si>
  <si>
    <t>Monthe 6</t>
  </si>
  <si>
    <t>A</t>
  </si>
  <si>
    <t>B</t>
  </si>
  <si>
    <t>C</t>
  </si>
  <si>
    <t>Day</t>
  </si>
  <si>
    <t xml:space="preserve">Date </t>
  </si>
  <si>
    <t>Total</t>
  </si>
  <si>
    <t>Ordering</t>
  </si>
  <si>
    <t>`</t>
  </si>
  <si>
    <t>Yearly Result</t>
  </si>
  <si>
    <t>Yearly WinRate</t>
  </si>
  <si>
    <t>Win</t>
  </si>
  <si>
    <t>AUDCAD</t>
  </si>
  <si>
    <t>AUDCHF</t>
  </si>
  <si>
    <t>AUDJPY</t>
  </si>
  <si>
    <t>AUDNZD</t>
  </si>
  <si>
    <t>AUDUSD</t>
  </si>
  <si>
    <t>CADCHF</t>
  </si>
  <si>
    <t>CADJPY</t>
  </si>
  <si>
    <t>CHFJPY</t>
  </si>
  <si>
    <t>EURAUD</t>
  </si>
  <si>
    <t>EURCAD</t>
  </si>
  <si>
    <t>EURCHF</t>
  </si>
  <si>
    <t>EURJPY</t>
  </si>
  <si>
    <t>EURNZD</t>
  </si>
  <si>
    <t>EURGBP</t>
  </si>
  <si>
    <t>EURUSD</t>
  </si>
  <si>
    <t>GBPAUD</t>
  </si>
  <si>
    <t>GBPCAD</t>
  </si>
  <si>
    <t>GBPCHF</t>
  </si>
  <si>
    <t>GBPNZD</t>
  </si>
  <si>
    <t>GBPUSD</t>
  </si>
  <si>
    <t>GBPJPY</t>
  </si>
  <si>
    <t>NZDCAD</t>
  </si>
  <si>
    <t>NZDCHF</t>
  </si>
  <si>
    <t>NZDUSD</t>
  </si>
  <si>
    <t>NZDJPY</t>
  </si>
  <si>
    <t>USDCAD</t>
  </si>
  <si>
    <t>USDCHF</t>
  </si>
  <si>
    <t>USDJPY</t>
  </si>
  <si>
    <t>OIL</t>
  </si>
  <si>
    <t>XAUUSD</t>
  </si>
  <si>
    <t>30(Trend change)</t>
  </si>
  <si>
    <t>Multi</t>
  </si>
  <si>
    <t>Level</t>
  </si>
  <si>
    <t>ComLex D</t>
  </si>
  <si>
    <t>ComLex H</t>
  </si>
  <si>
    <t>Comlex H</t>
  </si>
  <si>
    <t>Position</t>
  </si>
  <si>
    <t xml:space="preserve"> Result </t>
  </si>
  <si>
    <t xml:space="preserve">Result </t>
  </si>
  <si>
    <t>OCPP</t>
  </si>
  <si>
    <t>2</t>
  </si>
  <si>
    <t>3</t>
  </si>
  <si>
    <t>4</t>
  </si>
  <si>
    <t>30</t>
  </si>
  <si>
    <t>50</t>
  </si>
  <si>
    <t>TIME</t>
  </si>
  <si>
    <t>DATE</t>
  </si>
  <si>
    <t>ordered</t>
  </si>
  <si>
    <t>Currency</t>
  </si>
  <si>
    <r>
      <t>Trading Journal Academy</t>
    </r>
    <r>
      <rPr>
        <b/>
        <sz val="20"/>
        <color rgb="FFEAE400"/>
        <rFont val="Cooper Black"/>
        <family val="1"/>
      </rPr>
      <t xml:space="preserve"> 2023</t>
    </r>
  </si>
  <si>
    <t>None</t>
  </si>
  <si>
    <t>Probably Setup</t>
  </si>
  <si>
    <t>close reason</t>
  </si>
  <si>
    <t>Resason</t>
  </si>
  <si>
    <t xml:space="preserve">Total </t>
  </si>
  <si>
    <r>
      <rPr>
        <sz val="14"/>
        <color rgb="FF00B050"/>
        <rFont val="Bauhaus 93"/>
        <family val="5"/>
      </rPr>
      <t>Definitive</t>
    </r>
    <r>
      <rPr>
        <sz val="14"/>
        <color theme="0"/>
        <rFont val="Bauhaus 93"/>
        <family val="5"/>
      </rPr>
      <t xml:space="preserve"> setup</t>
    </r>
  </si>
  <si>
    <r>
      <rPr>
        <sz val="20"/>
        <color rgb="FF00B050"/>
        <rFont val="Bauhaus 93"/>
        <family val="5"/>
      </rPr>
      <t>Definitive</t>
    </r>
    <r>
      <rPr>
        <sz val="20"/>
        <color theme="0"/>
        <rFont val="Bauhaus 93"/>
        <family val="5"/>
      </rPr>
      <t xml:space="preserve"> setup</t>
    </r>
  </si>
  <si>
    <r>
      <rPr>
        <sz val="14"/>
        <color rgb="FFC00000"/>
        <rFont val="Bauhaus 93"/>
        <family val="5"/>
      </rPr>
      <t>Doubting</t>
    </r>
    <r>
      <rPr>
        <sz val="14"/>
        <color theme="0"/>
        <rFont val="Bauhaus 93"/>
        <family val="5"/>
      </rPr>
      <t xml:space="preserve"> Setup</t>
    </r>
  </si>
  <si>
    <r>
      <rPr>
        <sz val="20"/>
        <color rgb="FFC00000"/>
        <rFont val="Bauhaus 93"/>
        <family val="5"/>
      </rPr>
      <t>Doubting</t>
    </r>
    <r>
      <rPr>
        <sz val="20"/>
        <color theme="0"/>
        <rFont val="Bauhaus 93"/>
        <family val="5"/>
      </rPr>
      <t xml:space="preserve"> Setup</t>
    </r>
  </si>
  <si>
    <r>
      <rPr>
        <sz val="22"/>
        <color rgb="FFC00000"/>
        <rFont val="Bauhaus 93"/>
        <family val="5"/>
      </rPr>
      <t>Doubting</t>
    </r>
    <r>
      <rPr>
        <sz val="22"/>
        <color theme="0"/>
        <rFont val="Bauhaus 93"/>
        <family val="5"/>
      </rPr>
      <t xml:space="preserve"> Setup</t>
    </r>
  </si>
  <si>
    <r>
      <rPr>
        <sz val="22"/>
        <color rgb="FF00B050"/>
        <rFont val="Bauhaus 93"/>
        <family val="5"/>
      </rPr>
      <t>Definitive</t>
    </r>
    <r>
      <rPr>
        <sz val="22"/>
        <color theme="0"/>
        <rFont val="Bauhaus 93"/>
        <family val="5"/>
      </rPr>
      <t xml:space="preserve"> setup</t>
    </r>
  </si>
  <si>
    <t xml:space="preserve">تاریخ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</si>
</sst>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[$-409]d\-mmm;@"/>
    <numFmt numFmtId="165" formatCode="h:mm;@"/>
    <numFmt numFmtId="166" formatCode="m/d;@"/>
    <numFmt numFmtId="167" formatCode="&quot;$&quot;#,##0"/>
    <numFmt numFmtId="168" formatCode="[$-10488]hh:mm:ss;@"/>
    <numFmt numFmtId="169" formatCode="[$-409]h:mm\ AM/PM;@"/>
    <numFmt numFmtId="170" formatCode="[$-160429]dddd\,\ d\ mmmm\ yyyy;@"/>
    <numFmt numFmtId="171" formatCode="[$-409]h:mm:ss\ AM/PM;@"/>
    <numFmt numFmtId="172" formatCode="[$-F800]dddd\,\ mmmm\ dd\,\ yyyy"/>
    <numFmt numFmtId="173" formatCode="h:mm:ss;@"/>
  </numFmts>
  <fonts count="7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Bauhaus 93"/>
      <family val="5"/>
    </font>
    <font>
      <sz val="12"/>
      <color theme="0"/>
      <name val="Bauhaus 93"/>
      <family val="5"/>
    </font>
    <font>
      <sz val="14"/>
      <color theme="0"/>
      <name val="Bauhaus 93"/>
      <family val="5"/>
    </font>
    <font>
      <sz val="14"/>
      <color theme="1"/>
      <name val="Arabic Typesetting"/>
      <family val="4"/>
    </font>
    <font>
      <sz val="18"/>
      <color theme="1"/>
      <name val="Arabic Typesetting"/>
      <family val="4"/>
    </font>
    <font>
      <sz val="28"/>
      <color theme="1"/>
      <name val="Stencil"/>
      <family val="5"/>
    </font>
    <font>
      <b/>
      <sz val="16"/>
      <color theme="1"/>
      <name val="Calibri"/>
      <family val="2"/>
      <scheme val="minor"/>
    </font>
    <font>
      <b/>
      <sz val="18"/>
      <color rgb="FFE7E200"/>
      <name val="Bauhaus 93"/>
      <family val="5"/>
    </font>
    <font>
      <sz val="18"/>
      <color rgb="FFE7E200"/>
      <name val="Bauhaus 93"/>
      <family val="5"/>
    </font>
    <font>
      <sz val="16"/>
      <color rgb="FFE7E200"/>
      <name val="Bauhaus 93"/>
      <family val="5"/>
    </font>
    <font>
      <sz val="14"/>
      <color rgb="FFE7E200"/>
      <name val="Bauhaus 93"/>
      <family val="5"/>
    </font>
    <font>
      <sz val="20"/>
      <color rgb="FFE7E200"/>
      <name val="Bauhaus 93"/>
      <family val="5"/>
    </font>
    <font>
      <sz val="22"/>
      <color rgb="FFE7E200"/>
      <name val="Bauhaus 93"/>
      <family val="5"/>
    </font>
    <font>
      <b/>
      <sz val="16"/>
      <color rgb="FFE7E200"/>
      <name val="Bauhaus 93"/>
      <family val="5"/>
    </font>
    <font>
      <sz val="11"/>
      <color theme="0"/>
      <name val="Bauhaus 93"/>
      <family val="5"/>
    </font>
    <font>
      <sz val="2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color rgb="FFD7D200"/>
      <name val="Calibri"/>
      <family val="2"/>
      <scheme val="minor"/>
    </font>
    <font>
      <b/>
      <sz val="20"/>
      <color rgb="FFD7D200"/>
      <name val="Calibri"/>
      <family val="2"/>
      <scheme val="minor"/>
    </font>
    <font>
      <b/>
      <sz val="16"/>
      <color theme="0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b/>
      <sz val="22"/>
      <color theme="0"/>
      <name val="Calibri Light"/>
      <family val="2"/>
      <scheme val="major"/>
    </font>
    <font>
      <b/>
      <sz val="28"/>
      <color rgb="FFD5D000"/>
      <name val="Comic Sans MS"/>
      <family val="4"/>
    </font>
    <font>
      <b/>
      <sz val="24"/>
      <color rgb="FFEBE600"/>
      <name val="Comic Sans MS"/>
      <family val="4"/>
    </font>
    <font>
      <sz val="16"/>
      <color rgb="FFE6E100"/>
      <name val="Cooper Black"/>
      <family val="1"/>
    </font>
    <font>
      <sz val="14"/>
      <color theme="1"/>
      <name val="Cooper Black"/>
      <family val="1"/>
    </font>
    <font>
      <sz val="18"/>
      <color rgb="FFE6E100"/>
      <name val="Cooper Black"/>
      <family val="1"/>
    </font>
    <font>
      <sz val="14"/>
      <color rgb="FFEAE400"/>
      <name val="Cooper Black"/>
      <family val="1"/>
    </font>
    <font>
      <sz val="12"/>
      <color theme="1"/>
      <name val="Cooper Black"/>
      <family val="1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EAE400"/>
      <name val="Cooper Black"/>
      <family val="1"/>
    </font>
    <font>
      <sz val="18"/>
      <color theme="1"/>
      <name val="Calibri"/>
      <family val="2"/>
      <scheme val="minor"/>
    </font>
    <font>
      <sz val="16"/>
      <color rgb="FFF4EE00"/>
      <name val="Bauhaus 93"/>
      <family val="5"/>
    </font>
    <font>
      <sz val="11"/>
      <color rgb="FFF4EE00"/>
      <name val="Bauhaus 93"/>
      <family val="5"/>
    </font>
    <font>
      <b/>
      <sz val="16"/>
      <name val="Calibri"/>
      <family val="2"/>
      <scheme val="minor"/>
    </font>
    <font>
      <sz val="14"/>
      <color rgb="FFF4EE00"/>
      <name val="Bauhaus 93"/>
      <family val="5"/>
    </font>
    <font>
      <b/>
      <sz val="14"/>
      <color theme="0"/>
      <name val="Calibri Light"/>
      <family val="2"/>
      <scheme val="maj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E6E100"/>
      <name val="Bauhaus 93"/>
      <family val="5"/>
    </font>
    <font>
      <sz val="14"/>
      <color theme="1"/>
      <name val="Calibri Light"/>
      <family val="2"/>
      <scheme val="major"/>
    </font>
    <font>
      <sz val="14"/>
      <color theme="0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4"/>
      <color theme="0"/>
      <name val="Bauhaus 93"/>
      <family val="5"/>
    </font>
    <font>
      <b/>
      <sz val="20"/>
      <color rgb="FFE6E100"/>
      <name val="Bauhaus 93"/>
      <family val="5"/>
    </font>
    <font>
      <b/>
      <sz val="28"/>
      <color theme="1"/>
      <name val="Calibri"/>
      <family val="2"/>
      <scheme val="minor"/>
    </font>
    <font>
      <sz val="28"/>
      <color rgb="FFE6E100"/>
      <name val="Bauhaus 93"/>
      <family val="5"/>
    </font>
    <font>
      <sz val="22"/>
      <color theme="1"/>
      <name val="Calibri"/>
      <family val="2"/>
      <scheme val="minor"/>
    </font>
    <font>
      <b/>
      <sz val="20"/>
      <color theme="1"/>
      <name val="Far.Morvarid"/>
      <charset val="178"/>
    </font>
    <font>
      <b/>
      <sz val="26"/>
      <color theme="1"/>
      <name val="Agency FB"/>
      <family val="2"/>
    </font>
    <font>
      <sz val="48"/>
      <color theme="1"/>
      <name val="Agency FB"/>
      <family val="2"/>
    </font>
    <font>
      <b/>
      <sz val="28"/>
      <color rgb="FFEAE400"/>
      <name val="Cooper Black"/>
      <family val="1"/>
    </font>
    <font>
      <b/>
      <sz val="20"/>
      <color rgb="FFEAE400"/>
      <name val="Cooper Black"/>
      <family val="1"/>
    </font>
    <font>
      <b/>
      <sz val="28"/>
      <color rgb="FFD5D000"/>
      <name val="Cooper Black"/>
      <family val="1"/>
    </font>
    <font>
      <b/>
      <sz val="24"/>
      <color rgb="FFEBE600"/>
      <name val="Cooper Black"/>
      <family val="1"/>
    </font>
    <font>
      <b/>
      <sz val="20"/>
      <color rgb="FFE6E100"/>
      <name val="Cooper Black"/>
      <family val="1"/>
    </font>
    <font>
      <b/>
      <sz val="20"/>
      <color theme="0"/>
      <name val="Bauhaus 93"/>
      <family val="5"/>
    </font>
    <font>
      <sz val="26"/>
      <color rgb="FFD7D200"/>
      <name val="Bauhaus 93"/>
      <family val="5"/>
    </font>
    <font>
      <sz val="20"/>
      <color theme="0"/>
      <name val="Bauhaus 93"/>
      <family val="5"/>
    </font>
    <font>
      <sz val="22"/>
      <color theme="0"/>
      <name val="Bauhaus 93"/>
      <family val="5"/>
    </font>
    <font>
      <sz val="11"/>
      <color rgb="FFFFFF00"/>
      <name val="Bauhaus 93"/>
      <family val="5"/>
    </font>
    <font>
      <sz val="14"/>
      <color rgb="FF00B050"/>
      <name val="Bauhaus 93"/>
      <family val="5"/>
    </font>
    <font>
      <sz val="20"/>
      <color rgb="FF00B050"/>
      <name val="Bauhaus 93"/>
      <family val="5"/>
    </font>
    <font>
      <sz val="14"/>
      <color rgb="FFC00000"/>
      <name val="Bauhaus 93"/>
      <family val="5"/>
    </font>
    <font>
      <sz val="20"/>
      <color rgb="FFC00000"/>
      <name val="Bauhaus 93"/>
      <family val="5"/>
    </font>
    <font>
      <sz val="22"/>
      <color rgb="FFC00000"/>
      <name val="Bauhaus 93"/>
      <family val="5"/>
    </font>
    <font>
      <sz val="22"/>
      <color rgb="FF00B050"/>
      <name val="Bauhaus 93"/>
      <family val="5"/>
    </font>
    <font>
      <sz val="14"/>
      <color rgb="FFFFFF00"/>
      <name val="Bauhaus 93"/>
      <family val="5"/>
    </font>
    <font>
      <sz val="10"/>
      <color theme="0"/>
      <name val="Bauhaus 93"/>
      <family val="5"/>
    </font>
    <font>
      <sz val="28"/>
      <color rgb="FFE6E100"/>
      <name val="Far.Morvarid"/>
      <charset val="178"/>
    </font>
  </fonts>
  <fills count="5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79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1B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D661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A365D1"/>
        <bgColor indexed="64"/>
      </patternFill>
    </fill>
    <fill>
      <patternFill patternType="solid">
        <fgColor rgb="FFFFD44B"/>
        <bgColor indexed="64"/>
      </patternFill>
    </fill>
    <fill>
      <patternFill patternType="solid">
        <fgColor rgb="FF009ED6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7DDDFF"/>
        <bgColor indexed="64"/>
      </patternFill>
    </fill>
    <fill>
      <patternFill patternType="solid">
        <fgColor rgb="FFFF5353"/>
        <bgColor indexed="64"/>
      </patternFill>
    </fill>
    <fill>
      <patternFill patternType="solid">
        <fgColor rgb="FFFF93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7D2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A3A3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FF1D1D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rgb="FFFF2F2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1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NumberFormat="1"/>
    <xf numFmtId="0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Border="1"/>
    <xf numFmtId="0" fontId="3" fillId="2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2" fillId="9" borderId="1" xfId="0" applyNumberFormat="1" applyFont="1" applyFill="1" applyBorder="1" applyAlignment="1">
      <alignment horizontal="center" vertical="center"/>
    </xf>
    <xf numFmtId="49" fontId="2" fillId="12" borderId="1" xfId="0" applyNumberFormat="1" applyFont="1" applyFill="1" applyBorder="1" applyAlignment="1">
      <alignment horizontal="center" vertical="center"/>
    </xf>
    <xf numFmtId="49" fontId="2" fillId="11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13" fontId="2" fillId="0" borderId="0" xfId="0" applyNumberFormat="1" applyFont="1" applyAlignment="1">
      <alignment horizontal="center" vertical="center"/>
    </xf>
    <xf numFmtId="0" fontId="10" fillId="0" borderId="0" xfId="0" applyFont="1"/>
    <xf numFmtId="49" fontId="2" fillId="26" borderId="1" xfId="0" applyNumberFormat="1" applyFont="1" applyFill="1" applyBorder="1" applyAlignment="1">
      <alignment horizontal="center" vertical="center"/>
    </xf>
    <xf numFmtId="49" fontId="2" fillId="27" borderId="1" xfId="0" applyNumberFormat="1" applyFont="1" applyFill="1" applyBorder="1" applyAlignment="1">
      <alignment horizontal="center" vertical="center"/>
    </xf>
    <xf numFmtId="49" fontId="2" fillId="19" borderId="1" xfId="0" applyNumberFormat="1" applyFont="1" applyFill="1" applyBorder="1" applyAlignment="1">
      <alignment horizontal="center" vertical="center"/>
    </xf>
    <xf numFmtId="49" fontId="2" fillId="28" borderId="1" xfId="0" applyNumberFormat="1" applyFont="1" applyFill="1" applyBorder="1" applyAlignment="1">
      <alignment horizontal="center" vertical="center"/>
    </xf>
    <xf numFmtId="49" fontId="2" fillId="29" borderId="1" xfId="0" applyNumberFormat="1" applyFont="1" applyFill="1" applyBorder="1" applyAlignment="1">
      <alignment horizontal="center" vertical="center"/>
    </xf>
    <xf numFmtId="49" fontId="2" fillId="30" borderId="1" xfId="0" applyNumberFormat="1" applyFont="1" applyFill="1" applyBorder="1" applyAlignment="1">
      <alignment horizontal="center" vertical="center"/>
    </xf>
    <xf numFmtId="49" fontId="2" fillId="31" borderId="1" xfId="0" applyNumberFormat="1" applyFont="1" applyFill="1" applyBorder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0" fontId="2" fillId="0" borderId="1" xfId="0" applyNumberFormat="1" applyFont="1" applyBorder="1" applyAlignment="1" applyProtection="1">
      <alignment horizontal="center" vertical="center"/>
      <protection hidden="1"/>
    </xf>
    <xf numFmtId="2" fontId="2" fillId="17" borderId="1" xfId="0" applyNumberFormat="1" applyFont="1" applyFill="1" applyBorder="1" applyAlignment="1" applyProtection="1">
      <alignment horizontal="center" vertical="center"/>
      <protection hidden="1"/>
    </xf>
    <xf numFmtId="2" fontId="2" fillId="2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9" fontId="2" fillId="26" borderId="1" xfId="0" applyNumberFormat="1" applyFont="1" applyFill="1" applyBorder="1" applyAlignment="1" applyProtection="1">
      <alignment horizontal="center" vertical="center"/>
      <protection hidden="1"/>
    </xf>
    <xf numFmtId="49" fontId="2" fillId="9" borderId="1" xfId="0" applyNumberFormat="1" applyFont="1" applyFill="1" applyBorder="1" applyAlignment="1" applyProtection="1">
      <alignment horizontal="center" vertical="center"/>
      <protection hidden="1"/>
    </xf>
    <xf numFmtId="49" fontId="2" fillId="27" borderId="1" xfId="0" applyNumberFormat="1" applyFont="1" applyFill="1" applyBorder="1" applyAlignment="1" applyProtection="1">
      <alignment horizontal="center" vertical="center"/>
      <protection hidden="1"/>
    </xf>
    <xf numFmtId="49" fontId="2" fillId="12" borderId="1" xfId="0" applyNumberFormat="1" applyFont="1" applyFill="1" applyBorder="1" applyAlignment="1" applyProtection="1">
      <alignment horizontal="center" vertical="center"/>
      <protection hidden="1"/>
    </xf>
    <xf numFmtId="49" fontId="2" fillId="19" borderId="1" xfId="0" applyNumberFormat="1" applyFont="1" applyFill="1" applyBorder="1" applyAlignment="1" applyProtection="1">
      <alignment horizontal="center" vertical="center"/>
      <protection hidden="1"/>
    </xf>
    <xf numFmtId="49" fontId="2" fillId="28" borderId="1" xfId="0" applyNumberFormat="1" applyFont="1" applyFill="1" applyBorder="1" applyAlignment="1" applyProtection="1">
      <alignment horizontal="center" vertical="center"/>
      <protection hidden="1"/>
    </xf>
    <xf numFmtId="49" fontId="2" fillId="29" borderId="1" xfId="0" applyNumberFormat="1" applyFont="1" applyFill="1" applyBorder="1" applyAlignment="1" applyProtection="1">
      <alignment horizontal="center" vertical="center"/>
      <protection hidden="1"/>
    </xf>
    <xf numFmtId="0" fontId="0" fillId="33" borderId="14" xfId="0" applyFill="1" applyBorder="1" applyAlignment="1"/>
    <xf numFmtId="0" fontId="0" fillId="33" borderId="15" xfId="0" applyFill="1" applyBorder="1" applyAlignment="1"/>
    <xf numFmtId="0" fontId="0" fillId="33" borderId="0" xfId="0" applyFill="1" applyBorder="1" applyAlignment="1"/>
    <xf numFmtId="0" fontId="0" fillId="33" borderId="8" xfId="0" applyFill="1" applyBorder="1" applyAlignment="1"/>
    <xf numFmtId="0" fontId="0" fillId="33" borderId="12" xfId="0" applyFill="1" applyBorder="1" applyAlignment="1"/>
    <xf numFmtId="0" fontId="0" fillId="33" borderId="9" xfId="0" applyFill="1" applyBorder="1" applyAlignment="1"/>
    <xf numFmtId="0" fontId="0" fillId="0" borderId="0" xfId="0" applyBorder="1"/>
    <xf numFmtId="0" fontId="0" fillId="0" borderId="0" xfId="0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9" fillId="32" borderId="5" xfId="0" applyFont="1" applyFill="1" applyBorder="1" applyAlignment="1">
      <alignment horizontal="center" vertical="center"/>
    </xf>
    <xf numFmtId="0" fontId="29" fillId="32" borderId="0" xfId="0" applyFont="1" applyFill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6" fillId="32" borderId="1" xfId="0" applyFont="1" applyFill="1" applyBorder="1" applyAlignment="1">
      <alignment horizontal="center" vertical="center"/>
    </xf>
    <xf numFmtId="1" fontId="2" fillId="34" borderId="1" xfId="0" applyNumberFormat="1" applyFont="1" applyFill="1" applyBorder="1" applyAlignment="1" applyProtection="1">
      <alignment horizontal="center" vertical="center"/>
      <protection hidden="1"/>
    </xf>
    <xf numFmtId="2" fontId="2" fillId="34" borderId="1" xfId="0" applyNumberFormat="1" applyFont="1" applyFill="1" applyBorder="1" applyAlignment="1" applyProtection="1">
      <alignment horizontal="center" vertical="center"/>
      <protection hidden="1"/>
    </xf>
    <xf numFmtId="2" fontId="2" fillId="24" borderId="1" xfId="0" applyNumberFormat="1" applyFont="1" applyFill="1" applyBorder="1" applyAlignment="1" applyProtection="1">
      <alignment horizontal="center" vertical="center"/>
      <protection hidden="1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/>
    </xf>
    <xf numFmtId="2" fontId="2" fillId="18" borderId="1" xfId="0" applyNumberFormat="1" applyFont="1" applyFill="1" applyBorder="1" applyAlignment="1" applyProtection="1">
      <alignment horizontal="center" vertical="center"/>
      <protection hidden="1"/>
    </xf>
    <xf numFmtId="2" fontId="2" fillId="21" borderId="1" xfId="0" applyNumberFormat="1" applyFont="1" applyFill="1" applyBorder="1" applyAlignment="1" applyProtection="1">
      <alignment horizontal="center" vertical="center"/>
      <protection hidden="1"/>
    </xf>
    <xf numFmtId="2" fontId="2" fillId="16" borderId="1" xfId="0" applyNumberFormat="1" applyFont="1" applyFill="1" applyBorder="1" applyAlignment="1" applyProtection="1">
      <alignment horizontal="center" vertical="center"/>
      <protection hidden="1"/>
    </xf>
    <xf numFmtId="2" fontId="2" fillId="12" borderId="1" xfId="0" applyNumberFormat="1" applyFont="1" applyFill="1" applyBorder="1" applyAlignment="1" applyProtection="1">
      <alignment horizontal="center" vertical="center"/>
      <protection hidden="1"/>
    </xf>
    <xf numFmtId="2" fontId="2" fillId="19" borderId="1" xfId="0" applyNumberFormat="1" applyFont="1" applyFill="1" applyBorder="1" applyAlignment="1" applyProtection="1">
      <alignment horizontal="center" vertical="center"/>
      <protection hidden="1"/>
    </xf>
    <xf numFmtId="2" fontId="2" fillId="9" borderId="1" xfId="0" applyNumberFormat="1" applyFont="1" applyFill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0" fontId="42" fillId="32" borderId="0" xfId="0" applyFont="1" applyFill="1" applyAlignment="1">
      <alignment horizontal="center" vertical="center"/>
    </xf>
    <xf numFmtId="0" fontId="42" fillId="32" borderId="1" xfId="0" applyFont="1" applyFill="1" applyBorder="1" applyAlignment="1">
      <alignment horizontal="center" vertical="center"/>
    </xf>
    <xf numFmtId="49" fontId="25" fillId="23" borderId="0" xfId="0" applyNumberFormat="1" applyFont="1" applyFill="1" applyBorder="1" applyAlignment="1">
      <alignment horizontal="center" vertical="center"/>
    </xf>
    <xf numFmtId="0" fontId="25" fillId="23" borderId="0" xfId="0" applyFont="1" applyFill="1" applyBorder="1" applyAlignment="1">
      <alignment horizontal="center" vertical="center"/>
    </xf>
    <xf numFmtId="1" fontId="24" fillId="23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Border="1" applyAlignment="1" applyProtection="1">
      <alignment horizontal="center" vertical="center"/>
      <protection locked="0"/>
    </xf>
    <xf numFmtId="1" fontId="11" fillId="0" borderId="0" xfId="0" applyNumberFormat="1" applyFont="1" applyBorder="1" applyAlignment="1" applyProtection="1">
      <alignment horizontal="center" vertical="center"/>
      <protection locked="0"/>
    </xf>
    <xf numFmtId="165" fontId="11" fillId="0" borderId="0" xfId="0" applyNumberFormat="1" applyFont="1" applyBorder="1" applyAlignment="1" applyProtection="1">
      <alignment horizontal="center" vertical="center"/>
      <protection locked="0"/>
    </xf>
    <xf numFmtId="13" fontId="11" fillId="0" borderId="0" xfId="0" applyNumberFormat="1" applyFont="1" applyBorder="1" applyAlignment="1" applyProtection="1">
      <alignment horizontal="center" vertical="center"/>
      <protection locked="0"/>
    </xf>
    <xf numFmtId="2" fontId="11" fillId="0" borderId="0" xfId="0" applyNumberFormat="1" applyFont="1" applyBorder="1" applyAlignment="1" applyProtection="1">
      <alignment horizontal="center" vertical="center"/>
      <protection locked="0"/>
    </xf>
    <xf numFmtId="164" fontId="11" fillId="24" borderId="0" xfId="0" applyNumberFormat="1" applyFont="1" applyFill="1" applyBorder="1" applyAlignment="1" applyProtection="1">
      <alignment horizontal="center" vertical="center"/>
      <protection locked="0"/>
    </xf>
    <xf numFmtId="164" fontId="40" fillId="0" borderId="0" xfId="0" applyNumberFormat="1" applyFont="1" applyBorder="1" applyAlignment="1" applyProtection="1">
      <alignment horizontal="center" vertical="center"/>
      <protection locked="0"/>
    </xf>
    <xf numFmtId="1" fontId="40" fillId="0" borderId="0" xfId="0" applyNumberFormat="1" applyFont="1" applyBorder="1" applyAlignment="1" applyProtection="1">
      <alignment horizontal="center" vertical="center"/>
      <protection locked="0"/>
    </xf>
    <xf numFmtId="1" fontId="11" fillId="11" borderId="0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49" fontId="2" fillId="5" borderId="2" xfId="0" applyNumberFormat="1" applyFont="1" applyFill="1" applyBorder="1" applyAlignment="1">
      <alignment vertical="center"/>
    </xf>
    <xf numFmtId="49" fontId="2" fillId="35" borderId="3" xfId="0" applyNumberFormat="1" applyFont="1" applyFill="1" applyBorder="1" applyAlignment="1">
      <alignment horizontal="center" vertical="center"/>
    </xf>
    <xf numFmtId="49" fontId="2" fillId="35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 applyProtection="1">
      <alignment horizontal="center" vertical="center"/>
      <protection hidden="1"/>
    </xf>
    <xf numFmtId="0" fontId="45" fillId="32" borderId="1" xfId="0" applyFont="1" applyFill="1" applyBorder="1" applyAlignment="1">
      <alignment horizontal="center" vertical="center"/>
    </xf>
    <xf numFmtId="0" fontId="41" fillId="32" borderId="1" xfId="0" applyFont="1" applyFill="1" applyBorder="1" applyAlignment="1" applyProtection="1">
      <alignment horizontal="center" vertical="center"/>
      <protection hidden="1"/>
    </xf>
    <xf numFmtId="0" fontId="45" fillId="32" borderId="1" xfId="0" applyFont="1" applyFill="1" applyBorder="1" applyAlignment="1" applyProtection="1">
      <alignment horizontal="center" vertical="center"/>
      <protection hidden="1"/>
    </xf>
    <xf numFmtId="0" fontId="6" fillId="32" borderId="1" xfId="0" applyFont="1" applyFill="1" applyBorder="1" applyAlignment="1" applyProtection="1">
      <alignment horizontal="center" vertical="center"/>
      <protection hidden="1"/>
    </xf>
    <xf numFmtId="49" fontId="2" fillId="7" borderId="1" xfId="0" applyNumberFormat="1" applyFont="1" applyFill="1" applyBorder="1" applyAlignment="1" applyProtection="1">
      <alignment horizontal="center" vertical="center"/>
      <protection hidden="1"/>
    </xf>
    <xf numFmtId="49" fontId="2" fillId="30" borderId="1" xfId="0" applyNumberFormat="1" applyFont="1" applyFill="1" applyBorder="1" applyAlignment="1" applyProtection="1">
      <alignment horizontal="center" vertical="center"/>
      <protection hidden="1"/>
    </xf>
    <xf numFmtId="2" fontId="2" fillId="36" borderId="1" xfId="0" applyNumberFormat="1" applyFont="1" applyFill="1" applyBorder="1" applyAlignment="1" applyProtection="1">
      <alignment horizontal="center" vertical="center"/>
      <protection hidden="1"/>
    </xf>
    <xf numFmtId="49" fontId="2" fillId="31" borderId="1" xfId="0" applyNumberFormat="1" applyFont="1" applyFill="1" applyBorder="1" applyAlignment="1" applyProtection="1">
      <alignment horizontal="center" vertical="center"/>
      <protection hidden="1"/>
    </xf>
    <xf numFmtId="49" fontId="2" fillId="11" borderId="1" xfId="0" applyNumberFormat="1" applyFont="1" applyFill="1" applyBorder="1" applyAlignment="1" applyProtection="1">
      <alignment horizontal="center" vertical="center"/>
      <protection hidden="1"/>
    </xf>
    <xf numFmtId="49" fontId="2" fillId="5" borderId="1" xfId="0" applyNumberFormat="1" applyFont="1" applyFill="1" applyBorder="1" applyAlignment="1" applyProtection="1">
      <alignment horizontal="center" vertical="center"/>
      <protection hidden="1"/>
    </xf>
    <xf numFmtId="49" fontId="2" fillId="5" borderId="2" xfId="0" applyNumberFormat="1" applyFont="1" applyFill="1" applyBorder="1" applyAlignment="1" applyProtection="1">
      <alignment vertical="center"/>
      <protection hidden="1"/>
    </xf>
    <xf numFmtId="49" fontId="2" fillId="35" borderId="3" xfId="0" applyNumberFormat="1" applyFont="1" applyFill="1" applyBorder="1" applyAlignment="1" applyProtection="1">
      <alignment horizontal="center" vertical="center"/>
      <protection hidden="1"/>
    </xf>
    <xf numFmtId="49" fontId="2" fillId="35" borderId="1" xfId="0" applyNumberFormat="1" applyFont="1" applyFill="1" applyBorder="1" applyAlignment="1" applyProtection="1">
      <alignment horizontal="center" vertical="center"/>
      <protection hidden="1"/>
    </xf>
    <xf numFmtId="49" fontId="2" fillId="5" borderId="1" xfId="0" applyNumberFormat="1" applyFont="1" applyFill="1" applyBorder="1" applyAlignment="1" applyProtection="1">
      <alignment vertical="center"/>
      <protection hidden="1"/>
    </xf>
    <xf numFmtId="49" fontId="2" fillId="14" borderId="1" xfId="0" applyNumberFormat="1" applyFont="1" applyFill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 applyProtection="1">
      <alignment horizontal="center" vertical="center"/>
      <protection hidden="1"/>
    </xf>
    <xf numFmtId="1" fontId="4" fillId="0" borderId="2" xfId="0" applyNumberFormat="1" applyFont="1" applyBorder="1" applyAlignment="1" applyProtection="1">
      <alignment horizontal="center" vertical="center"/>
      <protection hidden="1"/>
    </xf>
    <xf numFmtId="0" fontId="38" fillId="32" borderId="1" xfId="0" applyFont="1" applyFill="1" applyBorder="1" applyAlignment="1" applyProtection="1">
      <alignment horizontal="center" vertical="center"/>
      <protection hidden="1"/>
    </xf>
    <xf numFmtId="2" fontId="2" fillId="37" borderId="1" xfId="0" applyNumberFormat="1" applyFont="1" applyFill="1" applyBorder="1" applyAlignment="1" applyProtection="1">
      <alignment horizontal="center" vertical="center"/>
      <protection hidden="1"/>
    </xf>
    <xf numFmtId="49" fontId="2" fillId="11" borderId="2" xfId="0" applyNumberFormat="1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2" fontId="2" fillId="15" borderId="1" xfId="0" applyNumberFormat="1" applyFont="1" applyFill="1" applyBorder="1" applyAlignment="1" applyProtection="1">
      <alignment horizontal="center" vertical="center"/>
      <protection hidden="1"/>
    </xf>
    <xf numFmtId="2" fontId="11" fillId="11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 hidden="1"/>
    </xf>
    <xf numFmtId="166" fontId="2" fillId="0" borderId="0" xfId="0" applyNumberFormat="1" applyFont="1" applyAlignment="1" applyProtection="1">
      <alignment horizontal="center" vertical="center"/>
      <protection locked="0" hidden="1"/>
    </xf>
    <xf numFmtId="1" fontId="2" fillId="0" borderId="0" xfId="0" applyNumberFormat="1" applyFont="1" applyAlignment="1" applyProtection="1">
      <alignment horizontal="center" vertical="center"/>
      <protection locked="0" hidden="1"/>
    </xf>
    <xf numFmtId="165" fontId="2" fillId="0" borderId="0" xfId="0" applyNumberFormat="1" applyFont="1" applyAlignment="1" applyProtection="1">
      <alignment horizontal="center" vertical="center"/>
      <protection locked="0" hidden="1"/>
    </xf>
    <xf numFmtId="49" fontId="2" fillId="0" borderId="0" xfId="0" applyNumberFormat="1" applyFont="1" applyAlignment="1" applyProtection="1">
      <alignment horizontal="center" vertical="center"/>
      <protection locked="0" hidden="1"/>
    </xf>
    <xf numFmtId="13" fontId="2" fillId="0" borderId="0" xfId="0" applyNumberFormat="1" applyFont="1" applyAlignment="1" applyProtection="1">
      <alignment horizontal="center" vertical="center"/>
      <protection locked="0" hidden="1"/>
    </xf>
    <xf numFmtId="2" fontId="2" fillId="0" borderId="0" xfId="0" applyNumberFormat="1" applyFont="1" applyAlignment="1" applyProtection="1">
      <alignment horizontal="center" vertical="center"/>
      <protection locked="0" hidden="1"/>
    </xf>
    <xf numFmtId="0" fontId="43" fillId="0" borderId="0" xfId="0" applyFont="1"/>
    <xf numFmtId="0" fontId="46" fillId="24" borderId="0" xfId="0" applyFont="1" applyFill="1"/>
    <xf numFmtId="0" fontId="47" fillId="32" borderId="0" xfId="0" applyFont="1" applyFill="1" applyAlignment="1">
      <alignment horizontal="center" vertical="center"/>
    </xf>
    <xf numFmtId="0" fontId="48" fillId="0" borderId="0" xfId="0" applyFont="1"/>
    <xf numFmtId="0" fontId="42" fillId="32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horizontal="center" vertical="center"/>
      <protection hidden="1"/>
    </xf>
    <xf numFmtId="0" fontId="2" fillId="30" borderId="1" xfId="0" applyFont="1" applyFill="1" applyBorder="1" applyAlignment="1" applyProtection="1">
      <alignment horizontal="center" vertical="center"/>
      <protection hidden="1"/>
    </xf>
    <xf numFmtId="0" fontId="2" fillId="31" borderId="1" xfId="0" applyFont="1" applyFill="1" applyBorder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horizontal="center" vertical="center"/>
      <protection hidden="1"/>
    </xf>
    <xf numFmtId="0" fontId="2" fillId="11" borderId="1" xfId="0" applyFont="1" applyFill="1" applyBorder="1" applyAlignment="1" applyProtection="1">
      <alignment horizontal="center" vertical="center"/>
      <protection hidden="1"/>
    </xf>
    <xf numFmtId="0" fontId="2" fillId="22" borderId="1" xfId="0" applyFont="1" applyFill="1" applyBorder="1" applyAlignment="1" applyProtection="1">
      <alignment horizontal="center" vertical="center"/>
      <protection hidden="1"/>
    </xf>
    <xf numFmtId="0" fontId="39" fillId="32" borderId="1" xfId="0" applyFont="1" applyFill="1" applyBorder="1" applyAlignment="1" applyProtection="1">
      <alignment horizontal="center" vertical="center"/>
      <protection hidden="1"/>
    </xf>
    <xf numFmtId="49" fontId="14" fillId="25" borderId="1" xfId="0" applyNumberFormat="1" applyFont="1" applyFill="1" applyBorder="1" applyAlignment="1" applyProtection="1">
      <alignment horizontal="center" vertical="center"/>
      <protection hidden="1"/>
    </xf>
    <xf numFmtId="0" fontId="14" fillId="25" borderId="1" xfId="0" applyFont="1" applyFill="1" applyBorder="1" applyAlignment="1" applyProtection="1">
      <alignment horizontal="center" vertical="center"/>
      <protection hidden="1"/>
    </xf>
    <xf numFmtId="49" fontId="6" fillId="25" borderId="1" xfId="0" applyNumberFormat="1" applyFont="1" applyFill="1" applyBorder="1" applyAlignment="1" applyProtection="1">
      <alignment horizontal="center" vertical="center"/>
      <protection hidden="1"/>
    </xf>
    <xf numFmtId="0" fontId="15" fillId="32" borderId="1" xfId="0" applyFont="1" applyFill="1" applyBorder="1" applyAlignment="1" applyProtection="1">
      <alignment horizontal="center" vertical="center"/>
      <protection hidden="1"/>
    </xf>
    <xf numFmtId="1" fontId="0" fillId="0" borderId="0" xfId="0" applyNumberFormat="1" applyProtection="1">
      <protection hidden="1"/>
    </xf>
    <xf numFmtId="0" fontId="43" fillId="0" borderId="0" xfId="0" applyFont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11" borderId="1" xfId="0" applyNumberFormat="1" applyFont="1" applyFill="1" applyBorder="1" applyAlignment="1" applyProtection="1">
      <alignment horizontal="center" vertical="center"/>
      <protection hidden="1"/>
    </xf>
    <xf numFmtId="0" fontId="3" fillId="32" borderId="1" xfId="0" applyFont="1" applyFill="1" applyBorder="1" applyAlignment="1" applyProtection="1">
      <alignment horizontal="center" vertical="center"/>
      <protection hidden="1"/>
    </xf>
    <xf numFmtId="0" fontId="49" fillId="32" borderId="1" xfId="0" applyFont="1" applyFill="1" applyBorder="1" applyAlignment="1" applyProtection="1">
      <alignment horizontal="center" vertical="center"/>
      <protection hidden="1"/>
    </xf>
    <xf numFmtId="49" fontId="6" fillId="32" borderId="1" xfId="0" applyNumberFormat="1" applyFont="1" applyFill="1" applyBorder="1" applyAlignment="1" applyProtection="1">
      <alignment horizontal="center" vertical="center"/>
      <protection hidden="1"/>
    </xf>
    <xf numFmtId="49" fontId="14" fillId="32" borderId="1" xfId="0" applyNumberFormat="1" applyFont="1" applyFill="1" applyBorder="1" applyAlignment="1" applyProtection="1">
      <alignment horizontal="center" vertical="center"/>
      <protection hidden="1"/>
    </xf>
    <xf numFmtId="0" fontId="14" fillId="32" borderId="1" xfId="0" applyFont="1" applyFill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24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169" fontId="52" fillId="0" borderId="0" xfId="0" applyNumberFormat="1" applyFont="1" applyAlignment="1">
      <alignment vertical="center"/>
    </xf>
    <xf numFmtId="168" fontId="52" fillId="0" borderId="0" xfId="0" applyNumberFormat="1" applyFont="1" applyAlignment="1">
      <alignment vertical="center"/>
    </xf>
    <xf numFmtId="165" fontId="0" fillId="0" borderId="0" xfId="0" applyNumberFormat="1" applyAlignment="1"/>
    <xf numFmtId="171" fontId="54" fillId="0" borderId="0" xfId="0" applyNumberFormat="1" applyFont="1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38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 vertical="center"/>
    </xf>
    <xf numFmtId="0" fontId="2" fillId="35" borderId="1" xfId="0" applyFont="1" applyFill="1" applyBorder="1" applyAlignment="1">
      <alignment horizontal="center" vertical="center"/>
    </xf>
    <xf numFmtId="0" fontId="2" fillId="39" borderId="1" xfId="0" applyFont="1" applyFill="1" applyBorder="1" applyAlignment="1">
      <alignment horizontal="center" vertical="center"/>
    </xf>
    <xf numFmtId="1" fontId="2" fillId="11" borderId="1" xfId="0" applyNumberFormat="1" applyFont="1" applyFill="1" applyBorder="1" applyAlignment="1">
      <alignment horizontal="center" vertical="center"/>
    </xf>
    <xf numFmtId="2" fontId="2" fillId="11" borderId="1" xfId="0" applyNumberFormat="1" applyFont="1" applyFill="1" applyBorder="1" applyAlignment="1">
      <alignment horizontal="center" vertical="center"/>
    </xf>
    <xf numFmtId="1" fontId="2" fillId="24" borderId="1" xfId="0" applyNumberFormat="1" applyFont="1" applyFill="1" applyBorder="1" applyAlignment="1">
      <alignment horizontal="center" vertical="center"/>
    </xf>
    <xf numFmtId="2" fontId="2" fillId="24" borderId="1" xfId="0" applyNumberFormat="1" applyFont="1" applyFill="1" applyBorder="1" applyAlignment="1">
      <alignment horizontal="center" vertical="center"/>
    </xf>
    <xf numFmtId="173" fontId="0" fillId="0" borderId="0" xfId="0" applyNumberFormat="1" applyAlignment="1"/>
    <xf numFmtId="1" fontId="2" fillId="4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19" fillId="32" borderId="1" xfId="0" applyFont="1" applyFill="1" applyBorder="1" applyAlignment="1" applyProtection="1">
      <alignment horizontal="center" vertical="center"/>
      <protection hidden="1"/>
    </xf>
    <xf numFmtId="2" fontId="2" fillId="42" borderId="1" xfId="0" applyNumberFormat="1" applyFont="1" applyFill="1" applyBorder="1" applyAlignment="1" applyProtection="1">
      <alignment horizontal="center" vertical="center"/>
      <protection hidden="1"/>
    </xf>
    <xf numFmtId="2" fontId="2" fillId="43" borderId="1" xfId="0" applyNumberFormat="1" applyFont="1" applyFill="1" applyBorder="1" applyAlignment="1" applyProtection="1">
      <alignment horizontal="center" vertical="center"/>
      <protection hidden="1"/>
    </xf>
    <xf numFmtId="2" fontId="2" fillId="41" borderId="1" xfId="0" applyNumberFormat="1" applyFont="1" applyFill="1" applyBorder="1" applyAlignment="1" applyProtection="1">
      <alignment horizontal="center" vertical="center"/>
      <protection hidden="1"/>
    </xf>
    <xf numFmtId="2" fontId="2" fillId="44" borderId="1" xfId="0" applyNumberFormat="1" applyFont="1" applyFill="1" applyBorder="1" applyAlignment="1" applyProtection="1">
      <alignment horizontal="center" vertical="center"/>
      <protection hidden="1"/>
    </xf>
    <xf numFmtId="0" fontId="2" fillId="14" borderId="1" xfId="0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0" fontId="75" fillId="32" borderId="1" xfId="0" applyFont="1" applyFill="1" applyBorder="1" applyAlignment="1" applyProtection="1">
      <alignment horizontal="center" vertical="center"/>
      <protection hidden="1"/>
    </xf>
    <xf numFmtId="0" fontId="67" fillId="32" borderId="1" xfId="0" applyFont="1" applyFill="1" applyBorder="1" applyAlignment="1" applyProtection="1">
      <alignment horizontal="center" vertical="center"/>
      <protection hidden="1"/>
    </xf>
    <xf numFmtId="4" fontId="2" fillId="0" borderId="6" xfId="0" applyNumberFormat="1" applyFont="1" applyBorder="1" applyAlignment="1" applyProtection="1">
      <alignment horizontal="center" vertical="center"/>
      <protection hidden="1"/>
    </xf>
    <xf numFmtId="0" fontId="32" fillId="32" borderId="0" xfId="0" applyFont="1" applyFill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32" borderId="0" xfId="0" applyFont="1" applyFill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1" fontId="34" fillId="0" borderId="5" xfId="0" applyNumberFormat="1" applyFont="1" applyBorder="1" applyAlignment="1">
      <alignment horizontal="center" vertical="center"/>
    </xf>
    <xf numFmtId="1" fontId="34" fillId="0" borderId="7" xfId="0" applyNumberFormat="1" applyFont="1" applyBorder="1" applyAlignment="1">
      <alignment horizontal="center" vertical="center"/>
    </xf>
    <xf numFmtId="0" fontId="29" fillId="32" borderId="0" xfId="0" applyFont="1" applyFill="1" applyAlignment="1">
      <alignment horizontal="center" vertical="center"/>
    </xf>
    <xf numFmtId="0" fontId="31" fillId="32" borderId="0" xfId="0" applyFont="1" applyFill="1" applyAlignment="1">
      <alignment horizontal="center" vertical="center"/>
    </xf>
    <xf numFmtId="0" fontId="31" fillId="32" borderId="13" xfId="0" applyFont="1" applyFill="1" applyBorder="1" applyAlignment="1">
      <alignment horizontal="center" vertical="center"/>
    </xf>
    <xf numFmtId="49" fontId="30" fillId="0" borderId="1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2" fillId="32" borderId="1" xfId="0" applyFont="1" applyFill="1" applyBorder="1" applyAlignment="1">
      <alignment horizontal="center" vertical="center"/>
    </xf>
    <xf numFmtId="1" fontId="60" fillId="23" borderId="0" xfId="0" applyNumberFormat="1" applyFont="1" applyFill="1" applyBorder="1" applyAlignment="1">
      <alignment horizontal="center" vertical="center"/>
    </xf>
    <xf numFmtId="49" fontId="58" fillId="23" borderId="0" xfId="0" applyNumberFormat="1" applyFont="1" applyFill="1" applyBorder="1" applyAlignment="1">
      <alignment horizontal="center" vertical="center"/>
    </xf>
    <xf numFmtId="0" fontId="20" fillId="32" borderId="0" xfId="0" applyFont="1" applyFill="1" applyAlignment="1">
      <alignment horizontal="center" vertical="center"/>
    </xf>
    <xf numFmtId="0" fontId="21" fillId="32" borderId="1" xfId="0" applyFont="1" applyFill="1" applyBorder="1" applyAlignment="1">
      <alignment horizontal="center" vertical="center"/>
    </xf>
    <xf numFmtId="49" fontId="27" fillId="23" borderId="0" xfId="0" applyNumberFormat="1" applyFont="1" applyFill="1" applyBorder="1" applyAlignment="1">
      <alignment horizontal="center" vertical="center" textRotation="90"/>
    </xf>
    <xf numFmtId="0" fontId="24" fillId="32" borderId="15" xfId="0" applyFont="1" applyFill="1" applyBorder="1" applyAlignment="1">
      <alignment horizontal="center" vertical="center"/>
    </xf>
    <xf numFmtId="0" fontId="24" fillId="32" borderId="0" xfId="0" applyFont="1" applyFill="1" applyBorder="1" applyAlignment="1">
      <alignment horizontal="center" vertical="center"/>
    </xf>
    <xf numFmtId="49" fontId="26" fillId="32" borderId="0" xfId="0" applyNumberFormat="1" applyFont="1" applyFill="1" applyBorder="1" applyAlignment="1">
      <alignment horizontal="center" vertical="center"/>
    </xf>
    <xf numFmtId="0" fontId="25" fillId="32" borderId="0" xfId="0" applyFont="1" applyFill="1" applyBorder="1" applyAlignment="1">
      <alignment horizontal="center" vertical="center"/>
    </xf>
    <xf numFmtId="0" fontId="24" fillId="32" borderId="14" xfId="0" applyFont="1" applyFill="1" applyBorder="1" applyAlignment="1">
      <alignment horizontal="center" vertical="center"/>
    </xf>
    <xf numFmtId="0" fontId="53" fillId="32" borderId="0" xfId="0" applyFont="1" applyFill="1" applyBorder="1" applyAlignment="1">
      <alignment horizontal="center" vertical="center"/>
    </xf>
    <xf numFmtId="165" fontId="57" fillId="24" borderId="1" xfId="0" applyNumberFormat="1" applyFont="1" applyFill="1" applyBorder="1" applyAlignment="1">
      <alignment horizontal="center" vertical="center"/>
    </xf>
    <xf numFmtId="172" fontId="56" fillId="0" borderId="1" xfId="0" applyNumberFormat="1" applyFont="1" applyBorder="1" applyAlignment="1">
      <alignment horizontal="center" vertical="center"/>
    </xf>
    <xf numFmtId="170" fontId="55" fillId="0" borderId="1" xfId="0" applyNumberFormat="1" applyFont="1" applyBorder="1" applyAlignment="1">
      <alignment horizontal="center" vertical="center"/>
    </xf>
    <xf numFmtId="0" fontId="76" fillId="32" borderId="0" xfId="0" applyFont="1" applyFill="1" applyBorder="1" applyAlignment="1">
      <alignment horizontal="center" vertical="center"/>
    </xf>
    <xf numFmtId="0" fontId="18" fillId="25" borderId="5" xfId="0" applyFont="1" applyFill="1" applyBorder="1" applyAlignment="1" applyProtection="1">
      <alignment horizontal="center" vertical="center"/>
      <protection hidden="1"/>
    </xf>
    <xf numFmtId="0" fontId="18" fillId="25" borderId="6" xfId="0" applyFont="1" applyFill="1" applyBorder="1" applyAlignment="1" applyProtection="1">
      <alignment horizontal="center" vertical="center"/>
      <protection hidden="1"/>
    </xf>
    <xf numFmtId="0" fontId="18" fillId="25" borderId="7" xfId="0" applyFont="1" applyFill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locked="0" hidden="1"/>
    </xf>
    <xf numFmtId="0" fontId="2" fillId="0" borderId="6" xfId="0" applyFont="1" applyBorder="1" applyAlignment="1" applyProtection="1">
      <alignment horizontal="center" vertical="center"/>
      <protection locked="0" hidden="1"/>
    </xf>
    <xf numFmtId="0" fontId="2" fillId="11" borderId="5" xfId="0" applyFont="1" applyFill="1" applyBorder="1" applyAlignment="1" applyProtection="1">
      <alignment horizontal="center" vertical="center"/>
      <protection locked="0" hidden="1"/>
    </xf>
    <xf numFmtId="0" fontId="2" fillId="11" borderId="6" xfId="0" applyFont="1" applyFill="1" applyBorder="1" applyAlignment="1" applyProtection="1">
      <alignment horizontal="center" vertical="center"/>
      <protection locked="0" hidden="1"/>
    </xf>
    <xf numFmtId="0" fontId="16" fillId="32" borderId="5" xfId="0" applyFont="1" applyFill="1" applyBorder="1" applyAlignment="1" applyProtection="1">
      <alignment horizontal="center" vertical="center"/>
      <protection hidden="1"/>
    </xf>
    <xf numFmtId="0" fontId="16" fillId="32" borderId="6" xfId="0" applyFont="1" applyFill="1" applyBorder="1" applyAlignment="1" applyProtection="1">
      <alignment horizontal="center" vertical="center"/>
      <protection hidden="1"/>
    </xf>
    <xf numFmtId="0" fontId="16" fillId="32" borderId="7" xfId="0" applyFont="1" applyFill="1" applyBorder="1" applyAlignment="1" applyProtection="1">
      <alignment horizontal="center" vertical="center"/>
      <protection hidden="1"/>
    </xf>
    <xf numFmtId="0" fontId="28" fillId="32" borderId="0" xfId="0" applyFont="1" applyFill="1" applyBorder="1" applyAlignment="1">
      <alignment horizontal="center" vertical="center"/>
    </xf>
    <xf numFmtId="0" fontId="61" fillId="32" borderId="0" xfId="0" applyFont="1" applyFill="1" applyAlignment="1">
      <alignment horizontal="center" vertical="center"/>
    </xf>
    <xf numFmtId="0" fontId="62" fillId="32" borderId="0" xfId="0" applyFont="1" applyFill="1" applyAlignment="1">
      <alignment horizontal="center" vertical="center"/>
    </xf>
    <xf numFmtId="0" fontId="42" fillId="32" borderId="1" xfId="0" applyFont="1" applyFill="1" applyBorder="1" applyAlignment="1">
      <alignment horizontal="center" vertical="center"/>
    </xf>
    <xf numFmtId="0" fontId="12" fillId="32" borderId="5" xfId="0" applyFont="1" applyFill="1" applyBorder="1" applyAlignment="1" applyProtection="1">
      <alignment horizontal="center" vertical="center"/>
      <protection hidden="1"/>
    </xf>
    <xf numFmtId="0" fontId="12" fillId="32" borderId="6" xfId="0" applyFont="1" applyFill="1" applyBorder="1" applyAlignment="1" applyProtection="1">
      <alignment horizontal="center" vertical="center"/>
      <protection hidden="1"/>
    </xf>
    <xf numFmtId="0" fontId="12" fillId="32" borderId="7" xfId="0" applyFont="1" applyFill="1" applyBorder="1" applyAlignment="1" applyProtection="1">
      <alignment horizontal="center" vertical="center"/>
      <protection hidden="1"/>
    </xf>
    <xf numFmtId="0" fontId="7" fillId="32" borderId="2" xfId="0" applyFont="1" applyFill="1" applyBorder="1" applyAlignment="1" applyProtection="1">
      <alignment horizontal="center" vertical="center"/>
      <protection hidden="1"/>
    </xf>
    <xf numFmtId="0" fontId="7" fillId="32" borderId="3" xfId="0" applyFont="1" applyFill="1" applyBorder="1" applyAlignment="1" applyProtection="1">
      <alignment horizontal="center" vertical="center"/>
      <protection hidden="1"/>
    </xf>
    <xf numFmtId="1" fontId="37" fillId="0" borderId="8" xfId="0" applyNumberFormat="1" applyFont="1" applyBorder="1" applyAlignment="1" applyProtection="1">
      <alignment horizontal="center" vertical="center"/>
      <protection hidden="1"/>
    </xf>
    <xf numFmtId="1" fontId="37" fillId="0" borderId="9" xfId="0" applyNumberFormat="1" applyFont="1" applyBorder="1" applyAlignment="1" applyProtection="1">
      <alignment horizontal="center" vertical="center"/>
      <protection hidden="1"/>
    </xf>
    <xf numFmtId="1" fontId="37" fillId="0" borderId="10" xfId="0" applyNumberFormat="1" applyFont="1" applyBorder="1" applyAlignment="1" applyProtection="1">
      <alignment horizontal="center" vertical="center"/>
      <protection hidden="1"/>
    </xf>
    <xf numFmtId="1" fontId="37" fillId="0" borderId="11" xfId="0" applyNumberFormat="1" applyFont="1" applyBorder="1" applyAlignment="1" applyProtection="1">
      <alignment horizontal="center" vertical="center"/>
      <protection hidden="1"/>
    </xf>
    <xf numFmtId="0" fontId="7" fillId="32" borderId="4" xfId="0" applyFont="1" applyFill="1" applyBorder="1" applyAlignment="1" applyProtection="1">
      <alignment horizontal="center" vertical="center"/>
      <protection hidden="1"/>
    </xf>
    <xf numFmtId="0" fontId="13" fillId="32" borderId="5" xfId="0" applyFont="1" applyFill="1" applyBorder="1" applyAlignment="1" applyProtection="1">
      <alignment horizontal="center" vertical="center"/>
      <protection hidden="1"/>
    </xf>
    <xf numFmtId="0" fontId="13" fillId="32" borderId="6" xfId="0" applyFont="1" applyFill="1" applyBorder="1" applyAlignment="1" applyProtection="1">
      <alignment horizontal="center" vertical="center"/>
      <protection hidden="1"/>
    </xf>
    <xf numFmtId="0" fontId="13" fillId="32" borderId="7" xfId="0" applyFont="1" applyFill="1" applyBorder="1" applyAlignment="1" applyProtection="1">
      <alignment horizontal="center" vertical="center"/>
      <protection hidden="1"/>
    </xf>
    <xf numFmtId="49" fontId="50" fillId="32" borderId="2" xfId="0" applyNumberFormat="1" applyFont="1" applyFill="1" applyBorder="1" applyAlignment="1">
      <alignment horizontal="center" vertical="center" textRotation="90"/>
    </xf>
    <xf numFmtId="49" fontId="50" fillId="32" borderId="4" xfId="0" applyNumberFormat="1" applyFont="1" applyFill="1" applyBorder="1" applyAlignment="1">
      <alignment horizontal="center" vertical="center" textRotation="90"/>
    </xf>
    <xf numFmtId="49" fontId="50" fillId="32" borderId="3" xfId="0" applyNumberFormat="1" applyFont="1" applyFill="1" applyBorder="1" applyAlignment="1">
      <alignment horizontal="center" vertical="center" textRotation="90"/>
    </xf>
    <xf numFmtId="49" fontId="51" fillId="32" borderId="14" xfId="0" applyNumberFormat="1" applyFont="1" applyFill="1" applyBorder="1" applyAlignment="1">
      <alignment horizontal="center" vertical="center" textRotation="90"/>
    </xf>
    <xf numFmtId="0" fontId="17" fillId="32" borderId="5" xfId="0" applyFont="1" applyFill="1" applyBorder="1" applyAlignment="1" applyProtection="1">
      <alignment horizontal="center" vertical="center"/>
      <protection hidden="1"/>
    </xf>
    <xf numFmtId="0" fontId="17" fillId="32" borderId="6" xfId="0" applyFont="1" applyFill="1" applyBorder="1" applyAlignment="1" applyProtection="1">
      <alignment horizontal="center" vertical="center"/>
      <protection hidden="1"/>
    </xf>
    <xf numFmtId="0" fontId="17" fillId="32" borderId="7" xfId="0" applyFont="1" applyFill="1" applyBorder="1" applyAlignment="1" applyProtection="1">
      <alignment horizontal="center" vertical="center"/>
      <protection hidden="1"/>
    </xf>
    <xf numFmtId="0" fontId="18" fillId="32" borderId="5" xfId="0" applyFont="1" applyFill="1" applyBorder="1" applyAlignment="1" applyProtection="1">
      <alignment horizontal="center" vertical="center"/>
      <protection hidden="1"/>
    </xf>
    <xf numFmtId="0" fontId="18" fillId="32" borderId="6" xfId="0" applyFont="1" applyFill="1" applyBorder="1" applyAlignment="1" applyProtection="1">
      <alignment horizontal="center" vertical="center"/>
      <protection hidden="1"/>
    </xf>
    <xf numFmtId="0" fontId="18" fillId="32" borderId="7" xfId="0" applyFont="1" applyFill="1" applyBorder="1" applyAlignment="1" applyProtection="1">
      <alignment horizontal="center" vertical="center"/>
      <protection hidden="1"/>
    </xf>
    <xf numFmtId="0" fontId="13" fillId="32" borderId="5" xfId="0" applyFont="1" applyFill="1" applyBorder="1" applyAlignment="1">
      <alignment horizontal="center" vertical="center"/>
    </xf>
    <xf numFmtId="0" fontId="13" fillId="32" borderId="6" xfId="0" applyFont="1" applyFill="1" applyBorder="1" applyAlignment="1">
      <alignment horizontal="center" vertical="center"/>
    </xf>
    <xf numFmtId="0" fontId="13" fillId="32" borderId="7" xfId="0" applyFont="1" applyFill="1" applyBorder="1" applyAlignment="1">
      <alignment horizontal="center" vertical="center"/>
    </xf>
    <xf numFmtId="0" fontId="7" fillId="32" borderId="2" xfId="0" applyFont="1" applyFill="1" applyBorder="1" applyAlignment="1">
      <alignment horizontal="center" vertical="center"/>
    </xf>
    <xf numFmtId="0" fontId="7" fillId="32" borderId="3" xfId="0" applyFont="1" applyFill="1" applyBorder="1" applyAlignment="1">
      <alignment horizontal="center" vertical="center"/>
    </xf>
    <xf numFmtId="0" fontId="7" fillId="32" borderId="4" xfId="0" applyFont="1" applyFill="1" applyBorder="1" applyAlignment="1">
      <alignment horizontal="center" vertical="center"/>
    </xf>
    <xf numFmtId="1" fontId="44" fillId="0" borderId="8" xfId="0" applyNumberFormat="1" applyFont="1" applyBorder="1" applyAlignment="1" applyProtection="1">
      <alignment horizontal="center" vertical="center"/>
      <protection hidden="1"/>
    </xf>
    <xf numFmtId="1" fontId="44" fillId="0" borderId="9" xfId="0" applyNumberFormat="1" applyFont="1" applyBorder="1" applyAlignment="1" applyProtection="1">
      <alignment horizontal="center" vertical="center"/>
      <protection hidden="1"/>
    </xf>
    <xf numFmtId="1" fontId="44" fillId="0" borderId="10" xfId="0" applyNumberFormat="1" applyFont="1" applyBorder="1" applyAlignment="1" applyProtection="1">
      <alignment horizontal="center" vertical="center"/>
      <protection hidden="1"/>
    </xf>
    <xf numFmtId="1" fontId="44" fillId="0" borderId="11" xfId="0" applyNumberFormat="1" applyFont="1" applyBorder="1" applyAlignment="1" applyProtection="1">
      <alignment horizontal="center" vertical="center"/>
      <protection hidden="1"/>
    </xf>
    <xf numFmtId="49" fontId="50" fillId="32" borderId="2" xfId="0" applyNumberFormat="1" applyFont="1" applyFill="1" applyBorder="1" applyAlignment="1" applyProtection="1">
      <alignment horizontal="center" vertical="center" textRotation="90"/>
      <protection hidden="1"/>
    </xf>
    <xf numFmtId="49" fontId="50" fillId="32" borderId="4" xfId="0" applyNumberFormat="1" applyFont="1" applyFill="1" applyBorder="1" applyAlignment="1" applyProtection="1">
      <alignment horizontal="center" vertical="center" textRotation="90"/>
      <protection hidden="1"/>
    </xf>
    <xf numFmtId="49" fontId="50" fillId="32" borderId="3" xfId="0" applyNumberFormat="1" applyFont="1" applyFill="1" applyBorder="1" applyAlignment="1" applyProtection="1">
      <alignment horizontal="center" vertical="center" textRotation="90"/>
      <protection hidden="1"/>
    </xf>
    <xf numFmtId="49" fontId="63" fillId="32" borderId="2" xfId="0" applyNumberFormat="1" applyFont="1" applyFill="1" applyBorder="1" applyAlignment="1" applyProtection="1">
      <alignment horizontal="center" vertical="center" textRotation="90"/>
      <protection hidden="1"/>
    </xf>
    <xf numFmtId="49" fontId="63" fillId="32" borderId="4" xfId="0" applyNumberFormat="1" applyFont="1" applyFill="1" applyBorder="1" applyAlignment="1" applyProtection="1">
      <alignment horizontal="center" vertical="center" textRotation="90"/>
      <protection hidden="1"/>
    </xf>
    <xf numFmtId="49" fontId="63" fillId="32" borderId="3" xfId="0" applyNumberFormat="1" applyFont="1" applyFill="1" applyBorder="1" applyAlignment="1" applyProtection="1">
      <alignment horizontal="center" vertical="center" textRotation="90"/>
      <protection hidden="1"/>
    </xf>
    <xf numFmtId="0" fontId="5" fillId="32" borderId="2" xfId="0" applyFont="1" applyFill="1" applyBorder="1" applyAlignment="1" applyProtection="1">
      <alignment horizontal="center" vertical="center"/>
      <protection hidden="1"/>
    </xf>
    <xf numFmtId="0" fontId="5" fillId="32" borderId="3" xfId="0" applyFont="1" applyFill="1" applyBorder="1" applyAlignment="1" applyProtection="1">
      <alignment horizontal="center" vertical="center"/>
      <protection hidden="1"/>
    </xf>
    <xf numFmtId="0" fontId="5" fillId="32" borderId="4" xfId="0" applyFont="1" applyFill="1" applyBorder="1" applyAlignment="1" applyProtection="1">
      <alignment horizontal="center" vertical="center"/>
      <protection hidden="1"/>
    </xf>
    <xf numFmtId="49" fontId="51" fillId="32" borderId="14" xfId="0" applyNumberFormat="1" applyFont="1" applyFill="1" applyBorder="1" applyAlignment="1" applyProtection="1">
      <alignment horizontal="center" vertical="center" textRotation="90"/>
      <protection hidden="1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64" fillId="32" borderId="8" xfId="0" applyNumberFormat="1" applyFont="1" applyFill="1" applyBorder="1" applyAlignment="1" applyProtection="1">
      <alignment horizontal="center" vertical="center"/>
      <protection hidden="1"/>
    </xf>
    <xf numFmtId="49" fontId="64" fillId="32" borderId="12" xfId="0" applyNumberFormat="1" applyFont="1" applyFill="1" applyBorder="1" applyAlignment="1" applyProtection="1">
      <alignment horizontal="center" vertical="center"/>
      <protection hidden="1"/>
    </xf>
    <xf numFmtId="49" fontId="64" fillId="32" borderId="9" xfId="0" applyNumberFormat="1" applyFont="1" applyFill="1" applyBorder="1" applyAlignment="1" applyProtection="1">
      <alignment horizontal="center" vertical="center"/>
      <protection hidden="1"/>
    </xf>
    <xf numFmtId="49" fontId="64" fillId="32" borderId="10" xfId="0" applyNumberFormat="1" applyFont="1" applyFill="1" applyBorder="1" applyAlignment="1" applyProtection="1">
      <alignment horizontal="center" vertical="center"/>
      <protection hidden="1"/>
    </xf>
    <xf numFmtId="49" fontId="64" fillId="32" borderId="13" xfId="0" applyNumberFormat="1" applyFont="1" applyFill="1" applyBorder="1" applyAlignment="1" applyProtection="1">
      <alignment horizontal="center" vertical="center"/>
      <protection hidden="1"/>
    </xf>
    <xf numFmtId="49" fontId="64" fillId="32" borderId="11" xfId="0" applyNumberFormat="1" applyFont="1" applyFill="1" applyBorder="1" applyAlignment="1" applyProtection="1">
      <alignment horizontal="center" vertical="center"/>
      <protection hidden="1"/>
    </xf>
    <xf numFmtId="49" fontId="7" fillId="32" borderId="2" xfId="0" applyNumberFormat="1" applyFont="1" applyFill="1" applyBorder="1" applyAlignment="1" applyProtection="1">
      <alignment horizontal="center" vertical="center" textRotation="90"/>
      <protection hidden="1"/>
    </xf>
    <xf numFmtId="49" fontId="7" fillId="32" borderId="4" xfId="0" applyNumberFormat="1" applyFont="1" applyFill="1" applyBorder="1" applyAlignment="1" applyProtection="1">
      <alignment horizontal="center" vertical="center" textRotation="90"/>
      <protection hidden="1"/>
    </xf>
    <xf numFmtId="49" fontId="7" fillId="32" borderId="3" xfId="0" applyNumberFormat="1" applyFont="1" applyFill="1" applyBorder="1" applyAlignment="1" applyProtection="1">
      <alignment horizontal="center" vertical="center" textRotation="90"/>
      <protection hidden="1"/>
    </xf>
    <xf numFmtId="0" fontId="6" fillId="32" borderId="12" xfId="0" applyFont="1" applyFill="1" applyBorder="1" applyAlignment="1" applyProtection="1">
      <alignment horizontal="center" vertical="center"/>
      <protection hidden="1"/>
    </xf>
    <xf numFmtId="0" fontId="6" fillId="32" borderId="0" xfId="0" applyFont="1" applyFill="1" applyAlignment="1" applyProtection="1">
      <alignment horizontal="center" vertical="center"/>
      <protection hidden="1"/>
    </xf>
    <xf numFmtId="49" fontId="64" fillId="32" borderId="1" xfId="0" applyNumberFormat="1" applyFont="1" applyFill="1" applyBorder="1" applyAlignment="1" applyProtection="1">
      <alignment horizontal="center" vertical="center"/>
      <protection hidden="1"/>
    </xf>
    <xf numFmtId="0" fontId="6" fillId="32" borderId="9" xfId="0" applyFont="1" applyFill="1" applyBorder="1" applyAlignment="1" applyProtection="1">
      <alignment horizontal="center" vertical="center"/>
      <protection hidden="1"/>
    </xf>
    <xf numFmtId="0" fontId="6" fillId="32" borderId="14" xfId="0" applyFont="1" applyFill="1" applyBorder="1" applyAlignment="1" applyProtection="1">
      <alignment horizontal="center" vertical="center"/>
      <protection hidden="1"/>
    </xf>
    <xf numFmtId="0" fontId="19" fillId="32" borderId="12" xfId="0" applyFont="1" applyFill="1" applyBorder="1" applyAlignment="1" applyProtection="1">
      <alignment horizontal="center" vertical="center"/>
      <protection hidden="1"/>
    </xf>
    <xf numFmtId="0" fontId="19" fillId="32" borderId="0" xfId="0" applyFont="1" applyFill="1" applyAlignment="1" applyProtection="1">
      <alignment horizontal="center" vertical="center"/>
      <protection hidden="1"/>
    </xf>
    <xf numFmtId="0" fontId="19" fillId="32" borderId="9" xfId="0" applyFont="1" applyFill="1" applyBorder="1" applyAlignment="1" applyProtection="1">
      <alignment horizontal="center" vertical="center"/>
      <protection hidden="1"/>
    </xf>
    <xf numFmtId="0" fontId="19" fillId="32" borderId="14" xfId="0" applyFont="1" applyFill="1" applyBorder="1" applyAlignment="1" applyProtection="1">
      <alignment horizontal="center" vertical="center"/>
      <protection hidden="1"/>
    </xf>
    <xf numFmtId="0" fontId="66" fillId="32" borderId="14" xfId="0" applyFont="1" applyFill="1" applyBorder="1" applyAlignment="1" applyProtection="1">
      <alignment horizontal="center" vertical="center" textRotation="90"/>
      <protection hidden="1"/>
    </xf>
    <xf numFmtId="0" fontId="7" fillId="32" borderId="1" xfId="0" applyFont="1" applyFill="1" applyBorder="1" applyAlignment="1" applyProtection="1">
      <alignment horizontal="center" vertical="center"/>
      <protection hidden="1"/>
    </xf>
    <xf numFmtId="0" fontId="74" fillId="32" borderId="0" xfId="0" applyFont="1" applyFill="1" applyAlignment="1" applyProtection="1">
      <alignment horizontal="center" vertical="center"/>
      <protection hidden="1"/>
    </xf>
    <xf numFmtId="2" fontId="2" fillId="21" borderId="5" xfId="0" applyNumberFormat="1" applyFont="1" applyFill="1" applyBorder="1" applyAlignment="1" applyProtection="1">
      <alignment horizontal="center" vertical="center"/>
      <protection hidden="1"/>
    </xf>
    <xf numFmtId="2" fontId="2" fillId="21" borderId="7" xfId="0" applyNumberFormat="1" applyFont="1" applyFill="1" applyBorder="1" applyAlignment="1" applyProtection="1">
      <alignment horizontal="center" vertical="center"/>
      <protection hidden="1"/>
    </xf>
    <xf numFmtId="2" fontId="2" fillId="18" borderId="5" xfId="0" applyNumberFormat="1" applyFont="1" applyFill="1" applyBorder="1" applyAlignment="1" applyProtection="1">
      <alignment horizontal="center" vertical="center"/>
      <protection hidden="1"/>
    </xf>
    <xf numFmtId="2" fontId="2" fillId="18" borderId="7" xfId="0" applyNumberFormat="1" applyFont="1" applyFill="1" applyBorder="1" applyAlignment="1" applyProtection="1">
      <alignment horizontal="center" vertical="center"/>
      <protection hidden="1"/>
    </xf>
    <xf numFmtId="2" fontId="2" fillId="47" borderId="5" xfId="0" applyNumberFormat="1" applyFont="1" applyFill="1" applyBorder="1" applyAlignment="1" applyProtection="1">
      <alignment horizontal="center" vertical="center"/>
      <protection hidden="1"/>
    </xf>
    <xf numFmtId="2" fontId="2" fillId="47" borderId="7" xfId="0" applyNumberFormat="1" applyFont="1" applyFill="1" applyBorder="1" applyAlignment="1" applyProtection="1">
      <alignment horizontal="center" vertical="center"/>
      <protection hidden="1"/>
    </xf>
    <xf numFmtId="2" fontId="2" fillId="46" borderId="5" xfId="0" applyNumberFormat="1" applyFont="1" applyFill="1" applyBorder="1" applyAlignment="1" applyProtection="1">
      <alignment horizontal="center" vertical="center"/>
      <protection hidden="1"/>
    </xf>
    <xf numFmtId="2" fontId="2" fillId="46" borderId="7" xfId="0" applyNumberFormat="1" applyFont="1" applyFill="1" applyBorder="1" applyAlignment="1" applyProtection="1">
      <alignment horizontal="center" vertical="center"/>
      <protection hidden="1"/>
    </xf>
    <xf numFmtId="2" fontId="2" fillId="45" borderId="5" xfId="0" applyNumberFormat="1" applyFont="1" applyFill="1" applyBorder="1" applyAlignment="1" applyProtection="1">
      <alignment horizontal="center" vertical="center"/>
      <protection hidden="1"/>
    </xf>
    <xf numFmtId="2" fontId="2" fillId="45" borderId="7" xfId="0" applyNumberFormat="1" applyFont="1" applyFill="1" applyBorder="1" applyAlignment="1" applyProtection="1">
      <alignment horizontal="center" vertical="center"/>
      <protection hidden="1"/>
    </xf>
    <xf numFmtId="2" fontId="2" fillId="17" borderId="5" xfId="0" applyNumberFormat="1" applyFont="1" applyFill="1" applyBorder="1" applyAlignment="1" applyProtection="1">
      <alignment horizontal="center" vertical="center"/>
      <protection hidden="1"/>
    </xf>
    <xf numFmtId="2" fontId="2" fillId="17" borderId="7" xfId="0" applyNumberFormat="1" applyFont="1" applyFill="1" applyBorder="1" applyAlignment="1" applyProtection="1">
      <alignment horizontal="center" vertical="center"/>
      <protection hidden="1"/>
    </xf>
    <xf numFmtId="2" fontId="2" fillId="12" borderId="5" xfId="0" applyNumberFormat="1" applyFont="1" applyFill="1" applyBorder="1" applyAlignment="1" applyProtection="1">
      <alignment horizontal="center" vertical="center"/>
      <protection hidden="1"/>
    </xf>
    <xf numFmtId="2" fontId="2" fillId="12" borderId="7" xfId="0" applyNumberFormat="1" applyFont="1" applyFill="1" applyBorder="1" applyAlignment="1" applyProtection="1">
      <alignment horizontal="center" vertical="center"/>
      <protection hidden="1"/>
    </xf>
    <xf numFmtId="2" fontId="2" fillId="16" borderId="5" xfId="0" applyNumberFormat="1" applyFont="1" applyFill="1" applyBorder="1" applyAlignment="1" applyProtection="1">
      <alignment horizontal="center" vertical="center"/>
      <protection hidden="1"/>
    </xf>
    <xf numFmtId="2" fontId="2" fillId="16" borderId="7" xfId="0" applyNumberFormat="1" applyFont="1" applyFill="1" applyBorder="1" applyAlignment="1" applyProtection="1">
      <alignment horizontal="center" vertical="center"/>
      <protection hidden="1"/>
    </xf>
    <xf numFmtId="2" fontId="2" fillId="9" borderId="5" xfId="0" applyNumberFormat="1" applyFont="1" applyFill="1" applyBorder="1" applyAlignment="1" applyProtection="1">
      <alignment horizontal="center" vertical="center"/>
      <protection hidden="1"/>
    </xf>
    <xf numFmtId="2" fontId="2" fillId="9" borderId="7" xfId="0" applyNumberFormat="1" applyFont="1" applyFill="1" applyBorder="1" applyAlignment="1" applyProtection="1">
      <alignment horizontal="center" vertical="center"/>
      <protection hidden="1"/>
    </xf>
    <xf numFmtId="2" fontId="2" fillId="49" borderId="5" xfId="0" applyNumberFormat="1" applyFont="1" applyFill="1" applyBorder="1" applyAlignment="1" applyProtection="1">
      <alignment horizontal="center" vertical="center"/>
      <protection hidden="1"/>
    </xf>
    <xf numFmtId="2" fontId="2" fillId="49" borderId="7" xfId="0" applyNumberFormat="1" applyFont="1" applyFill="1" applyBorder="1" applyAlignment="1" applyProtection="1">
      <alignment horizontal="center" vertical="center"/>
      <protection hidden="1"/>
    </xf>
    <xf numFmtId="2" fontId="2" fillId="48" borderId="5" xfId="0" applyNumberFormat="1" applyFont="1" applyFill="1" applyBorder="1" applyAlignment="1" applyProtection="1">
      <alignment horizontal="center" vertical="center"/>
      <protection hidden="1"/>
    </xf>
    <xf numFmtId="2" fontId="2" fillId="48" borderId="7" xfId="0" applyNumberFormat="1" applyFont="1" applyFill="1" applyBorder="1" applyAlignment="1" applyProtection="1">
      <alignment horizontal="center" vertical="center"/>
      <protection hidden="1"/>
    </xf>
    <xf numFmtId="2" fontId="2" fillId="24" borderId="5" xfId="0" applyNumberFormat="1" applyFont="1" applyFill="1" applyBorder="1" applyAlignment="1" applyProtection="1">
      <alignment horizontal="center" vertical="center"/>
      <protection hidden="1"/>
    </xf>
    <xf numFmtId="2" fontId="2" fillId="24" borderId="7" xfId="0" applyNumberFormat="1" applyFont="1" applyFill="1" applyBorder="1" applyAlignment="1" applyProtection="1">
      <alignment horizontal="center" vertical="center"/>
      <protection hidden="1"/>
    </xf>
    <xf numFmtId="0" fontId="65" fillId="32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16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protection locked="0" hidden="1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protection locked="0" hidden="1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protection locked="0" hidden="1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8" formatCode="#\ ??/??"/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protection locked="0" hidden="1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protection locked="0" hidden="1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h:mm;@"/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protection locked="0" hidden="1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66" formatCode="m/d;@"/>
      <alignment horizontal="center" vertical="center" textRotation="0" wrapText="0" indent="0" justifyLastLine="0" shrinkToFit="0" readingOrder="0"/>
      <protection locked="0" hidden="1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1"/>
    </dxf>
    <dxf>
      <font>
        <b/>
        <strike val="0"/>
        <outline val="0"/>
        <shadow val="0"/>
        <u val="none"/>
        <vertAlign val="baseline"/>
        <sz val="14"/>
        <color theme="0"/>
        <name val="Calibri Light"/>
        <scheme val="maj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D60000"/>
        </patternFill>
      </fill>
    </dxf>
    <dxf>
      <fill>
        <patternFill>
          <bgColor rgb="FF00ADEA"/>
        </patternFill>
      </fill>
    </dxf>
    <dxf>
      <fill>
        <patternFill>
          <bgColor rgb="FF7DDDFF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D661"/>
        </patternFill>
      </fill>
    </dxf>
    <dxf>
      <fill>
        <patternFill>
          <bgColor rgb="FFFF4F4F"/>
        </patternFill>
      </fill>
    </dxf>
    <dxf>
      <fill>
        <patternFill>
          <bgColor theme="9" tint="0.59996337778862885"/>
        </patternFill>
      </fill>
    </dxf>
    <dxf>
      <fill>
        <patternFill>
          <bgColor rgb="FFFF8B8B"/>
        </patternFill>
      </fill>
    </dxf>
    <dxf>
      <fill>
        <patternFill>
          <bgColor rgb="FF934BC9"/>
        </patternFill>
      </fill>
    </dxf>
    <dxf>
      <fill>
        <patternFill>
          <bgColor rgb="FFFF3F3F"/>
        </patternFill>
      </fill>
    </dxf>
    <dxf>
      <fill>
        <patternFill>
          <bgColor rgb="FFFFFF47"/>
        </patternFill>
      </fill>
    </dxf>
    <dxf>
      <fill>
        <patternFill>
          <bgColor rgb="FFFFD44B"/>
        </patternFill>
      </fill>
    </dxf>
    <dxf>
      <font>
        <b/>
        <i val="0"/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18" formatCode="#\ ??/??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165" formatCode="h:mm;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[$-409]d\-mmm;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164" formatCode="[$-409]d\-mmm;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6"/>
        <color theme="0"/>
        <name val="Calibri Light"/>
        <scheme val="major"/>
      </font>
      <numFmt numFmtId="1" formatCode="0"/>
      <fill>
        <patternFill patternType="solid">
          <fgColor indexed="64"/>
          <bgColor rgb="FF001B7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8"/>
        <color theme="0"/>
        <name val="Calibri Light"/>
        <scheme val="major"/>
      </font>
      <fill>
        <patternFill patternType="solid">
          <fgColor indexed="64"/>
          <bgColor rgb="FF001B70"/>
        </patternFill>
      </fill>
      <alignment vertical="center" textRotation="0" wrapText="0" indent="0" justifyLastLine="0" shrinkToFit="0" readingOrder="0"/>
    </dxf>
    <dxf>
      <fill>
        <patternFill>
          <bgColor rgb="FFE6FFFF"/>
        </patternFill>
      </fill>
    </dxf>
    <dxf>
      <fill>
        <patternFill>
          <bgColor rgb="FFF6FF9F"/>
        </patternFill>
      </fill>
    </dxf>
    <dxf>
      <fill>
        <patternFill>
          <bgColor rgb="FFFFDCB9"/>
        </patternFill>
      </fill>
    </dxf>
    <dxf>
      <fill>
        <patternFill>
          <bgColor rgb="FFFFD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9" tint="0.79998168889431442"/>
        </patternFill>
      </fill>
    </dxf>
    <dxf>
      <fill>
        <patternFill>
          <bgColor rgb="FFFFC1C1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59EE2"/>
        </patternFill>
      </fill>
    </dxf>
    <dxf>
      <fill>
        <patternFill>
          <bgColor rgb="FFDE3500"/>
        </patternFill>
      </fill>
    </dxf>
    <dxf>
      <fill>
        <patternFill>
          <bgColor rgb="FF00B050"/>
        </patternFill>
      </fill>
    </dxf>
    <dxf>
      <fill>
        <patternFill>
          <bgColor rgb="FF81DEFF"/>
        </patternFill>
      </fill>
    </dxf>
    <dxf>
      <fill>
        <patternFill>
          <bgColor rgb="FF00B0F0"/>
        </patternFill>
      </fill>
    </dxf>
    <dxf>
      <fill>
        <patternFill>
          <bgColor rgb="FF93E3FF"/>
        </patternFill>
      </fill>
    </dxf>
    <dxf>
      <fill>
        <patternFill>
          <bgColor rgb="FF009BD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FF7D7D"/>
        </patternFill>
      </fill>
    </dxf>
    <dxf>
      <fill>
        <patternFill>
          <bgColor rgb="FFC00000"/>
        </patternFill>
      </fill>
    </dxf>
    <dxf>
      <fill>
        <patternFill>
          <bgColor rgb="FFFF3B3B"/>
        </patternFill>
      </fill>
    </dxf>
    <dxf>
      <fill>
        <patternFill>
          <bgColor rgb="FFEA0000"/>
        </patternFill>
      </fill>
    </dxf>
    <dxf>
      <fill>
        <patternFill>
          <bgColor rgb="FFFA0000"/>
        </patternFill>
      </fill>
    </dxf>
    <dxf>
      <fill>
        <patternFill>
          <bgColor rgb="FFFCF600"/>
        </patternFill>
      </fill>
    </dxf>
    <dxf>
      <fill>
        <patternFill>
          <bgColor rgb="FFA86ED4"/>
        </patternFill>
      </fill>
    </dxf>
    <dxf>
      <fill>
        <patternFill>
          <bgColor rgb="FFFFCF37"/>
        </patternFill>
      </fill>
    </dxf>
    <dxf>
      <fill>
        <patternFill>
          <bgColor rgb="FF00CC5C"/>
        </patternFill>
      </fill>
    </dxf>
    <dxf>
      <fill>
        <patternFill>
          <bgColor rgb="FF00EA6A"/>
        </patternFill>
      </fill>
    </dxf>
    <dxf>
      <fill>
        <patternFill>
          <bgColor theme="9" tint="-0.24994659260841701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2F2F"/>
      <color rgb="FFFF4B4B"/>
      <color rgb="FFFF6969"/>
      <color rgb="FFFF8989"/>
      <color rgb="FFFFC5C5"/>
      <color rgb="FFFF1D1D"/>
      <color rgb="FFFF2D2D"/>
      <color rgb="FFFF4747"/>
      <color rgb="FFFF6D6D"/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F09-4D61-96AF-5C53FB14CFE2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F09-4D61-96AF-5C53FB14CFE2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09-4D61-96AF-5C53FB14CFE2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40000"/>
                      <a:lumOff val="6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40000"/>
                      <a:lumOff val="6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40000"/>
                      <a:lumOff val="6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3F09-4D61-96AF-5C53FB14CFE2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3F09-4D61-96AF-5C53FB14CFE2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A365D1">
                      <a:shade val="30000"/>
                      <a:satMod val="115000"/>
                    </a:srgbClr>
                  </a:gs>
                  <a:gs pos="50000">
                    <a:srgbClr val="A365D1">
                      <a:shade val="67500"/>
                      <a:satMod val="115000"/>
                    </a:srgbClr>
                  </a:gs>
                  <a:gs pos="100000">
                    <a:srgbClr val="A365D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3F09-4D61-96AF-5C53FB14CFE2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D85D">
                      <a:shade val="30000"/>
                      <a:satMod val="115000"/>
                    </a:srgbClr>
                  </a:gs>
                  <a:gs pos="50000">
                    <a:srgbClr val="FFD85D">
                      <a:shade val="67500"/>
                      <a:satMod val="115000"/>
                    </a:srgbClr>
                  </a:gs>
                  <a:gs pos="100000">
                    <a:srgbClr val="FFD85D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3F09-4D61-96AF-5C53FB14CFE2}"/>
              </c:ext>
            </c:extLst>
          </c:dPt>
          <c:cat>
            <c:strRef>
              <c:f>'Setup Analysis'!$E$3:$E$9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'Setup Analysis'!$F$3:$F$9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9-4D61-96AF-5C53FB14C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021760"/>
        <c:axId val="382010528"/>
        <c:axId val="0"/>
      </c:bar3DChart>
      <c:catAx>
        <c:axId val="38202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382010528"/>
        <c:crosses val="autoZero"/>
        <c:auto val="1"/>
        <c:lblAlgn val="ctr"/>
        <c:lblOffset val="100"/>
        <c:noMultiLvlLbl val="0"/>
      </c:catAx>
      <c:valAx>
        <c:axId val="3820105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820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4D6-4C56-8362-3F3B527A0EDA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4D6-4C56-8362-3F3B527A0EDA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4D6-4C56-8362-3F3B527A0EDA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40000"/>
                      <a:lumOff val="6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40000"/>
                      <a:lumOff val="6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40000"/>
                      <a:lumOff val="6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4D6-4C56-8362-3F3B527A0EDA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4D6-4C56-8362-3F3B527A0EDA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A4D6-4C56-8362-3F3B527A0EDA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D85D">
                      <a:shade val="30000"/>
                      <a:satMod val="115000"/>
                    </a:srgbClr>
                  </a:gs>
                  <a:gs pos="50000">
                    <a:srgbClr val="FFD85D">
                      <a:shade val="67500"/>
                      <a:satMod val="115000"/>
                    </a:srgbClr>
                  </a:gs>
                  <a:gs pos="100000">
                    <a:srgbClr val="FFD85D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4D6-4C56-8362-3F3B527A0EDA}"/>
              </c:ext>
            </c:extLst>
          </c:dPt>
          <c:cat>
            <c:strRef>
              <c:f>'Setup Analysis'!$K$3:$K$9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'Setup Analysis'!$L$3:$L$9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6-4C56-8362-3F3B527A0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439536"/>
        <c:axId val="362428720"/>
        <c:axId val="0"/>
      </c:bar3DChart>
      <c:catAx>
        <c:axId val="36243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362428720"/>
        <c:crosses val="autoZero"/>
        <c:auto val="1"/>
        <c:lblAlgn val="ctr"/>
        <c:lblOffset val="100"/>
        <c:noMultiLvlLbl val="0"/>
      </c:catAx>
      <c:valAx>
        <c:axId val="3624287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6243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ysClr val="windowText" lastClr="000000"/>
          </a:solidFill>
        </a:ln>
        <a:effectLst/>
        <a:sp3d>
          <a:contourClr>
            <a:sysClr val="windowText" lastClr="000000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264-4015-9622-01CEF3E6C41C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264-4015-9622-01CEF3E6C41C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264-4015-9622-01CEF3E6C41C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40000"/>
                      <a:lumOff val="6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40000"/>
                      <a:lumOff val="6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40000"/>
                      <a:lumOff val="6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264-4015-9622-01CEF3E6C41C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7264-4015-9622-01CEF3E6C41C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264-4015-9622-01CEF3E6C41C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D85D">
                      <a:shade val="30000"/>
                      <a:satMod val="115000"/>
                    </a:srgbClr>
                  </a:gs>
                  <a:gs pos="50000">
                    <a:srgbClr val="FFD85D">
                      <a:shade val="67500"/>
                      <a:satMod val="115000"/>
                    </a:srgbClr>
                  </a:gs>
                  <a:gs pos="100000">
                    <a:srgbClr val="FFD85D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7264-4015-9622-01CEF3E6C41C}"/>
              </c:ext>
            </c:extLst>
          </c:dPt>
          <c:cat>
            <c:strRef>
              <c:f>'Setup Analysis'!$Q$3:$Q$9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'Setup Analysis'!$R$3:$R$9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64-4015-9622-01CEF3E6C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003040"/>
        <c:axId val="382020512"/>
        <c:axId val="0"/>
      </c:bar3DChart>
      <c:catAx>
        <c:axId val="3820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382020512"/>
        <c:crosses val="autoZero"/>
        <c:auto val="1"/>
        <c:lblAlgn val="ctr"/>
        <c:lblOffset val="100"/>
        <c:noMultiLvlLbl val="0"/>
      </c:catAx>
      <c:valAx>
        <c:axId val="3820205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8200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91A-4503-A17B-8F7607ED6B45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91A-4503-A17B-8F7607ED6B45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91A-4503-A17B-8F7607ED6B45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40000"/>
                      <a:lumOff val="6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40000"/>
                      <a:lumOff val="6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40000"/>
                      <a:lumOff val="6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A91A-4503-A17B-8F7607ED6B45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91A-4503-A17B-8F7607ED6B45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A91A-4503-A17B-8F7607ED6B45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D85D">
                      <a:shade val="30000"/>
                      <a:satMod val="115000"/>
                    </a:srgbClr>
                  </a:gs>
                  <a:gs pos="50000">
                    <a:srgbClr val="FFD85D">
                      <a:shade val="67500"/>
                      <a:satMod val="115000"/>
                    </a:srgbClr>
                  </a:gs>
                  <a:gs pos="100000">
                    <a:srgbClr val="FFD85D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91A-4503-A17B-8F7607ED6B45}"/>
              </c:ext>
            </c:extLst>
          </c:dPt>
          <c:cat>
            <c:strRef>
              <c:f>'Setup Analysis'!$E$25:$E$31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'Setup Analysis'!$F$25:$F$31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A-4503-A17B-8F7607ED6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426640"/>
        <c:axId val="362437040"/>
        <c:axId val="0"/>
      </c:bar3DChart>
      <c:catAx>
        <c:axId val="36242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362437040"/>
        <c:crosses val="autoZero"/>
        <c:auto val="1"/>
        <c:lblAlgn val="ctr"/>
        <c:lblOffset val="100"/>
        <c:noMultiLvlLbl val="0"/>
      </c:catAx>
      <c:valAx>
        <c:axId val="3624370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6242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206-4924-862C-CFD6482A85D7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206-4924-862C-CFD6482A85D7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4206-4924-862C-CFD6482A85D7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40000"/>
                      <a:lumOff val="6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40000"/>
                      <a:lumOff val="6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40000"/>
                      <a:lumOff val="6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206-4924-862C-CFD6482A85D7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206-4924-862C-CFD6482A85D7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4206-4924-862C-CFD6482A85D7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D85D">
                      <a:shade val="30000"/>
                      <a:satMod val="115000"/>
                    </a:srgbClr>
                  </a:gs>
                  <a:gs pos="50000">
                    <a:srgbClr val="FFD85D">
                      <a:shade val="67500"/>
                      <a:satMod val="115000"/>
                    </a:srgbClr>
                  </a:gs>
                  <a:gs pos="100000">
                    <a:srgbClr val="FFD85D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4206-4924-862C-CFD6482A85D7}"/>
              </c:ext>
            </c:extLst>
          </c:dPt>
          <c:cat>
            <c:strRef>
              <c:f>'Setup Analysis'!$K$25:$K$31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'Setup Analysis'!$L$25:$L$31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6-4924-862C-CFD6482A8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002208"/>
        <c:axId val="382004288"/>
        <c:axId val="0"/>
      </c:bar3DChart>
      <c:catAx>
        <c:axId val="38200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382004288"/>
        <c:crosses val="autoZero"/>
        <c:auto val="1"/>
        <c:lblAlgn val="ctr"/>
        <c:lblOffset val="100"/>
        <c:noMultiLvlLbl val="0"/>
      </c:catAx>
      <c:valAx>
        <c:axId val="3820042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8200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81A-4898-92C3-4DFD054BD0FE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81A-4898-92C3-4DFD054BD0FE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81A-4898-92C3-4DFD054BD0FE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40000"/>
                      <a:lumOff val="6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40000"/>
                      <a:lumOff val="6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40000"/>
                      <a:lumOff val="6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81A-4898-92C3-4DFD054BD0FE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A81A-4898-92C3-4DFD054BD0FE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A81A-4898-92C3-4DFD054BD0FE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D85D">
                      <a:shade val="30000"/>
                      <a:satMod val="115000"/>
                    </a:srgbClr>
                  </a:gs>
                  <a:gs pos="50000">
                    <a:srgbClr val="FFD85D">
                      <a:shade val="67500"/>
                      <a:satMod val="115000"/>
                    </a:srgbClr>
                  </a:gs>
                  <a:gs pos="100000">
                    <a:srgbClr val="FFD85D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A81A-4898-92C3-4DFD054BD0FE}"/>
              </c:ext>
            </c:extLst>
          </c:dPt>
          <c:cat>
            <c:strRef>
              <c:f>'Setup Analysis'!$Q$25:$Q$31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'Setup Analysis'!$R$25:$R$31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A-4898-92C3-4DFD054BD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432464"/>
        <c:axId val="362434128"/>
        <c:axId val="0"/>
      </c:bar3DChart>
      <c:catAx>
        <c:axId val="36243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362434128"/>
        <c:crosses val="autoZero"/>
        <c:auto val="1"/>
        <c:lblAlgn val="ctr"/>
        <c:lblOffset val="100"/>
        <c:noMultiLvlLbl val="0"/>
      </c:catAx>
      <c:valAx>
        <c:axId val="3624341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6243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ysClr val="windowText" lastClr="000000"/>
          </a:solidFill>
        </a:ln>
        <a:effectLst/>
        <a:sp3d>
          <a:contourClr>
            <a:sysClr val="windowText" lastClr="000000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991-4C4D-9F1D-CF34BF7F0BC1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1515">
                      <a:shade val="30000"/>
                      <a:satMod val="115000"/>
                    </a:srgbClr>
                  </a:gs>
                  <a:gs pos="50000">
                    <a:srgbClr val="FF1515">
                      <a:shade val="67500"/>
                      <a:satMod val="115000"/>
                    </a:srgbClr>
                  </a:gs>
                  <a:gs pos="100000">
                    <a:srgbClr val="FF1515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991-4C4D-9F1D-CF34BF7F0BC1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991-4C4D-9F1D-CF34BF7F0BC1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40000"/>
                      <a:lumOff val="6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40000"/>
                      <a:lumOff val="6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40000"/>
                      <a:lumOff val="6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991-4C4D-9F1D-CF34BF7F0BC1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991-4C4D-9F1D-CF34BF7F0BC1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5991-4C4D-9F1D-CF34BF7F0BC1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D85D">
                      <a:shade val="30000"/>
                      <a:satMod val="115000"/>
                    </a:srgbClr>
                  </a:gs>
                  <a:gs pos="50000">
                    <a:srgbClr val="FFD85D">
                      <a:shade val="67500"/>
                      <a:satMod val="115000"/>
                    </a:srgbClr>
                  </a:gs>
                  <a:gs pos="100000">
                    <a:srgbClr val="FFD85D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991-4C4D-9F1D-CF34BF7F0BC1}"/>
              </c:ext>
            </c:extLst>
          </c:dPt>
          <c:cat>
            <c:strRef>
              <c:f>'Setup Analysis'!$E$48:$E$54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'Setup Analysis'!$F$48:$F$54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1-4C4D-9F1D-CF34BF7F0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024672"/>
        <c:axId val="382025504"/>
        <c:axId val="0"/>
      </c:bar3DChart>
      <c:catAx>
        <c:axId val="38202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382025504"/>
        <c:crosses val="autoZero"/>
        <c:auto val="1"/>
        <c:lblAlgn val="ctr"/>
        <c:lblOffset val="100"/>
        <c:noMultiLvlLbl val="0"/>
      </c:catAx>
      <c:valAx>
        <c:axId val="3820255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82024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ysClr val="windowText" lastClr="000000"/>
          </a:solidFill>
        </a:ln>
        <a:effectLst/>
        <a:sp3d>
          <a:contourClr>
            <a:sysClr val="windowText" lastClr="000000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674-4741-A523-7BB17D7A209B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1515">
                      <a:shade val="30000"/>
                      <a:satMod val="115000"/>
                    </a:srgbClr>
                  </a:gs>
                  <a:gs pos="50000">
                    <a:srgbClr val="FF1515">
                      <a:shade val="67500"/>
                      <a:satMod val="115000"/>
                    </a:srgbClr>
                  </a:gs>
                  <a:gs pos="100000">
                    <a:srgbClr val="FF1515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6674-4741-A523-7BB17D7A209B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674-4741-A523-7BB17D7A209B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40000"/>
                      <a:lumOff val="6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40000"/>
                      <a:lumOff val="6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40000"/>
                      <a:lumOff val="6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6674-4741-A523-7BB17D7A209B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674-4741-A523-7BB17D7A209B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6674-4741-A523-7BB17D7A209B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D85D">
                      <a:shade val="30000"/>
                      <a:satMod val="115000"/>
                    </a:srgbClr>
                  </a:gs>
                  <a:gs pos="50000">
                    <a:srgbClr val="FFD85D">
                      <a:shade val="67500"/>
                      <a:satMod val="115000"/>
                    </a:srgbClr>
                  </a:gs>
                  <a:gs pos="100000">
                    <a:srgbClr val="FFD85D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6674-4741-A523-7BB17D7A209B}"/>
              </c:ext>
            </c:extLst>
          </c:dPt>
          <c:cat>
            <c:strRef>
              <c:f>'Setup Analysis'!$K$48:$K$54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'Setup Analysis'!$L$48:$L$54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741-A523-7BB17D7A2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1996384"/>
        <c:axId val="381998880"/>
        <c:axId val="0"/>
      </c:bar3DChart>
      <c:catAx>
        <c:axId val="38199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381998880"/>
        <c:crosses val="autoZero"/>
        <c:auto val="1"/>
        <c:lblAlgn val="ctr"/>
        <c:lblOffset val="100"/>
        <c:noMultiLvlLbl val="0"/>
      </c:catAx>
      <c:valAx>
        <c:axId val="38199888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8199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A28-4C0F-87FA-2C330B016397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28-4C0F-87FA-2C330B016397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0A28-4C0F-87FA-2C330B016397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A28-4C0F-87FA-2C330B016397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0A28-4C0F-87FA-2C330B016397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0A28-4C0F-87FA-2C330B016397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A28-4C0F-87FA-2C330B016397}"/>
              </c:ext>
            </c:extLst>
          </c:dPt>
          <c:cat>
            <c:strRef>
              <c:f>'Setup Analysis'!$Q$48:$Q$54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'Setup Analysis'!$R$48:$R$54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8-4C0F-87FA-2C330B016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2000960"/>
        <c:axId val="382003456"/>
        <c:axId val="0"/>
      </c:bar3DChart>
      <c:catAx>
        <c:axId val="38200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382003456"/>
        <c:crosses val="autoZero"/>
        <c:auto val="1"/>
        <c:lblAlgn val="ctr"/>
        <c:lblOffset val="100"/>
        <c:noMultiLvlLbl val="0"/>
      </c:catAx>
      <c:valAx>
        <c:axId val="3820034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820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F32-45BD-9F1A-864DA15C17AA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F32-45BD-9F1A-864DA15C17AA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F32-45BD-9F1A-864DA15C17AA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40000"/>
                      <a:lumOff val="6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40000"/>
                      <a:lumOff val="6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40000"/>
                      <a:lumOff val="6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F32-45BD-9F1A-864DA15C17AA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BF32-45BD-9F1A-864DA15C17AA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BF32-45BD-9F1A-864DA15C17AA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D85D">
                      <a:shade val="30000"/>
                      <a:satMod val="115000"/>
                    </a:srgbClr>
                  </a:gs>
                  <a:gs pos="50000">
                    <a:srgbClr val="FFD85D">
                      <a:shade val="67500"/>
                      <a:satMod val="115000"/>
                    </a:srgbClr>
                  </a:gs>
                  <a:gs pos="100000">
                    <a:srgbClr val="FFD85D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F32-45BD-9F1A-864DA15C17AA}"/>
              </c:ext>
            </c:extLst>
          </c:dPt>
          <c:cat>
            <c:strRef>
              <c:f>'Setup Analysis'!$E$69:$E$75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'Setup Analysis'!$F$69:$F$75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2-45BD-9F1A-864DA15C1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439952"/>
        <c:axId val="362445776"/>
        <c:axId val="0"/>
      </c:bar3DChart>
      <c:catAx>
        <c:axId val="36243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362445776"/>
        <c:crosses val="autoZero"/>
        <c:auto val="1"/>
        <c:lblAlgn val="ctr"/>
        <c:lblOffset val="100"/>
        <c:noMultiLvlLbl val="0"/>
      </c:catAx>
      <c:valAx>
        <c:axId val="3624457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6243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ysClr val="windowText" lastClr="000000"/>
          </a:solidFill>
        </a:ln>
        <a:effectLst/>
        <a:sp3d>
          <a:contourClr>
            <a:sysClr val="windowText" lastClr="000000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74D-4AF4-A72A-03DADE4212BA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1515">
                      <a:shade val="30000"/>
                      <a:satMod val="115000"/>
                    </a:srgbClr>
                  </a:gs>
                  <a:gs pos="50000">
                    <a:srgbClr val="FF1515">
                      <a:shade val="67500"/>
                      <a:satMod val="115000"/>
                    </a:srgbClr>
                  </a:gs>
                  <a:gs pos="100000">
                    <a:srgbClr val="FF1515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74D-4AF4-A72A-03DADE4212BA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974D-4AF4-A72A-03DADE4212BA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40000"/>
                      <a:lumOff val="6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40000"/>
                      <a:lumOff val="6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40000"/>
                      <a:lumOff val="6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74D-4AF4-A72A-03DADE4212BA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74D-4AF4-A72A-03DADE4212BA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974D-4AF4-A72A-03DADE4212BA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D85D">
                      <a:shade val="30000"/>
                      <a:satMod val="115000"/>
                    </a:srgbClr>
                  </a:gs>
                  <a:gs pos="50000">
                    <a:srgbClr val="FFD85D">
                      <a:shade val="67500"/>
                      <a:satMod val="115000"/>
                    </a:srgbClr>
                  </a:gs>
                  <a:gs pos="100000">
                    <a:srgbClr val="FFD85D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974D-4AF4-A72A-03DADE4212BA}"/>
              </c:ext>
            </c:extLst>
          </c:dPt>
          <c:cat>
            <c:strRef>
              <c:f>'Setup Analysis'!$K$69:$K$75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'Setup Analysis'!$L$69:$L$75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4D-4AF4-A72A-03DADE421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436208"/>
        <c:axId val="362435792"/>
        <c:axId val="0"/>
      </c:bar3DChart>
      <c:catAx>
        <c:axId val="36243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362435792"/>
        <c:crosses val="autoZero"/>
        <c:auto val="1"/>
        <c:lblAlgn val="ctr"/>
        <c:lblOffset val="100"/>
        <c:noMultiLvlLbl val="0"/>
      </c:catAx>
      <c:valAx>
        <c:axId val="36243579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6243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CC0000">
                      <a:shade val="30000"/>
                      <a:satMod val="115000"/>
                    </a:srgbClr>
                  </a:gs>
                  <a:gs pos="50000">
                    <a:srgbClr val="CC0000">
                      <a:shade val="67500"/>
                      <a:satMod val="115000"/>
                    </a:srgbClr>
                  </a:gs>
                  <a:gs pos="100000">
                    <a:srgbClr val="CC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2F-4C7B-88DC-9C080325C219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0B0F0">
                      <a:shade val="30000"/>
                      <a:satMod val="115000"/>
                    </a:srgbClr>
                  </a:gs>
                  <a:gs pos="50000">
                    <a:srgbClr val="00B0F0">
                      <a:shade val="67500"/>
                      <a:satMod val="115000"/>
                    </a:srgbClr>
                  </a:gs>
                  <a:gs pos="100000">
                    <a:srgbClr val="00B0F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A62F-4C7B-88DC-9C080325C219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4FD1FF">
                      <a:shade val="30000"/>
                      <a:satMod val="115000"/>
                    </a:srgbClr>
                  </a:gs>
                  <a:gs pos="50000">
                    <a:srgbClr val="4FD1FF">
                      <a:shade val="67500"/>
                      <a:satMod val="115000"/>
                    </a:srgbClr>
                  </a:gs>
                  <a:gs pos="100000">
                    <a:srgbClr val="4FD1FF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A62F-4C7B-88DC-9C080325C219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62F-4C7B-88DC-9C080325C219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bg1">
                      <a:lumMod val="85000"/>
                      <a:shade val="30000"/>
                      <a:satMod val="115000"/>
                    </a:schemeClr>
                  </a:gs>
                  <a:gs pos="50000">
                    <a:schemeClr val="bg1">
                      <a:lumMod val="85000"/>
                      <a:shade val="67500"/>
                      <a:satMod val="115000"/>
                    </a:schemeClr>
                  </a:gs>
                  <a:gs pos="100000">
                    <a:schemeClr val="bg1">
                      <a:lumMod val="85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62F-4C7B-88DC-9C080325C219}"/>
              </c:ext>
            </c:extLst>
          </c:dPt>
          <c:cat>
            <c:strRef>
              <c:f>'Close Reason Analysis'!$B$4:$F$4</c:f>
              <c:strCache>
                <c:ptCount val="5"/>
                <c:pt idx="0">
                  <c:v>SF</c:v>
                </c:pt>
                <c:pt idx="1">
                  <c:v>TC</c:v>
                </c:pt>
                <c:pt idx="2">
                  <c:v>DC</c:v>
                </c:pt>
                <c:pt idx="3">
                  <c:v>Keep Went</c:v>
                </c:pt>
                <c:pt idx="4">
                  <c:v>RNG</c:v>
                </c:pt>
              </c:strCache>
            </c:strRef>
          </c:cat>
          <c:val>
            <c:numRef>
              <c:f>'Close Reason Analysis'!$B$5:$F$5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C-4A56-8B45-015BABFE3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53"/>
        <c:shape val="box"/>
        <c:axId val="1635738400"/>
        <c:axId val="1635741312"/>
        <c:axId val="0"/>
      </c:bar3DChart>
      <c:catAx>
        <c:axId val="163573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1635741312"/>
        <c:crosses val="autoZero"/>
        <c:auto val="1"/>
        <c:lblAlgn val="ctr"/>
        <c:lblOffset val="100"/>
        <c:noMultiLvlLbl val="0"/>
      </c:catAx>
      <c:valAx>
        <c:axId val="1635741312"/>
        <c:scaling>
          <c:orientation val="minMax"/>
        </c:scaling>
        <c:delete val="1"/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163573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C00000">
                      <a:shade val="30000"/>
                      <a:satMod val="115000"/>
                    </a:srgbClr>
                  </a:gs>
                  <a:gs pos="50000">
                    <a:srgbClr val="C00000">
                      <a:shade val="67500"/>
                      <a:satMod val="115000"/>
                    </a:srgbClr>
                  </a:gs>
                  <a:gs pos="100000">
                    <a:srgbClr val="C0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92A9-478B-8D73-2B95D5756DBF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0B0F0">
                      <a:shade val="30000"/>
                      <a:satMod val="115000"/>
                    </a:srgbClr>
                  </a:gs>
                  <a:gs pos="50000">
                    <a:srgbClr val="00B0F0">
                      <a:shade val="67500"/>
                      <a:satMod val="115000"/>
                    </a:srgbClr>
                  </a:gs>
                  <a:gs pos="100000">
                    <a:srgbClr val="00B0F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92A9-478B-8D73-2B95D5756DBF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4FD1FF">
                      <a:shade val="30000"/>
                      <a:satMod val="115000"/>
                    </a:srgbClr>
                  </a:gs>
                  <a:gs pos="50000">
                    <a:srgbClr val="4FD1FF">
                      <a:shade val="67500"/>
                      <a:satMod val="115000"/>
                    </a:srgbClr>
                  </a:gs>
                  <a:gs pos="100000">
                    <a:srgbClr val="4FD1FF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92A9-478B-8D73-2B95D5756DBF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92A9-478B-8D73-2B95D5756DB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2A9-478B-8D73-2B95D5756DBF}"/>
              </c:ext>
            </c:extLst>
          </c:dPt>
          <c:cat>
            <c:strRef>
              <c:f>'Close Reason Analysis'!$H$4:$L$4</c:f>
              <c:strCache>
                <c:ptCount val="5"/>
                <c:pt idx="0">
                  <c:v>SF</c:v>
                </c:pt>
                <c:pt idx="1">
                  <c:v>TC</c:v>
                </c:pt>
                <c:pt idx="2">
                  <c:v>DC</c:v>
                </c:pt>
                <c:pt idx="3">
                  <c:v>Keep Went</c:v>
                </c:pt>
                <c:pt idx="4">
                  <c:v>RNG</c:v>
                </c:pt>
              </c:strCache>
            </c:strRef>
          </c:cat>
          <c:val>
            <c:numRef>
              <c:f>'Close Reason Analysis'!$H$5:$L$5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1-43CE-819D-0FA0A621A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35738400"/>
        <c:axId val="1635741312"/>
        <c:axId val="0"/>
      </c:bar3DChart>
      <c:catAx>
        <c:axId val="163573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1635741312"/>
        <c:crosses val="autoZero"/>
        <c:auto val="1"/>
        <c:lblAlgn val="ctr"/>
        <c:lblOffset val="100"/>
        <c:noMultiLvlLbl val="0"/>
      </c:catAx>
      <c:valAx>
        <c:axId val="16357413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163573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C00000">
                      <a:shade val="30000"/>
                      <a:satMod val="115000"/>
                    </a:srgbClr>
                  </a:gs>
                  <a:gs pos="50000">
                    <a:srgbClr val="C00000">
                      <a:shade val="67500"/>
                      <a:satMod val="115000"/>
                    </a:srgbClr>
                  </a:gs>
                  <a:gs pos="100000">
                    <a:srgbClr val="C0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184-4DAF-B724-53A38F2BDCA9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0B0F0">
                      <a:shade val="30000"/>
                      <a:satMod val="115000"/>
                    </a:srgbClr>
                  </a:gs>
                  <a:gs pos="50000">
                    <a:srgbClr val="00B0F0">
                      <a:shade val="67500"/>
                      <a:satMod val="115000"/>
                    </a:srgbClr>
                  </a:gs>
                  <a:gs pos="100000">
                    <a:srgbClr val="00B0F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184-4DAF-B724-53A38F2BDCA9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4FD1FF">
                      <a:shade val="30000"/>
                      <a:satMod val="115000"/>
                    </a:srgbClr>
                  </a:gs>
                  <a:gs pos="50000">
                    <a:srgbClr val="4FD1FF">
                      <a:shade val="67500"/>
                      <a:satMod val="115000"/>
                    </a:srgbClr>
                  </a:gs>
                  <a:gs pos="100000">
                    <a:srgbClr val="4FD1FF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184-4DAF-B724-53A38F2BDCA9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4184-4DAF-B724-53A38F2BDCA9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bg1">
                      <a:lumMod val="85000"/>
                      <a:shade val="30000"/>
                      <a:satMod val="115000"/>
                    </a:schemeClr>
                  </a:gs>
                  <a:gs pos="50000">
                    <a:schemeClr val="bg1">
                      <a:lumMod val="85000"/>
                      <a:shade val="67500"/>
                      <a:satMod val="115000"/>
                    </a:schemeClr>
                  </a:gs>
                  <a:gs pos="100000">
                    <a:schemeClr val="bg1">
                      <a:lumMod val="85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4184-4DAF-B724-53A38F2BDCA9}"/>
              </c:ext>
            </c:extLst>
          </c:dPt>
          <c:cat>
            <c:strRef>
              <c:f>'Close Reason Analysis'!$B$37:$F$37</c:f>
              <c:strCache>
                <c:ptCount val="5"/>
                <c:pt idx="0">
                  <c:v>SF</c:v>
                </c:pt>
                <c:pt idx="1">
                  <c:v>TC</c:v>
                </c:pt>
                <c:pt idx="2">
                  <c:v>DC</c:v>
                </c:pt>
                <c:pt idx="3">
                  <c:v>Keep Went</c:v>
                </c:pt>
                <c:pt idx="4">
                  <c:v>RNG</c:v>
                </c:pt>
              </c:strCache>
            </c:strRef>
          </c:cat>
          <c:val>
            <c:numRef>
              <c:f>'Close Reason Analysis'!$B$38:$F$38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4-4DAF-B724-53A38F2BD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7152528"/>
        <c:axId val="1220248000"/>
        <c:axId val="0"/>
      </c:bar3DChart>
      <c:catAx>
        <c:axId val="115715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1220248000"/>
        <c:crosses val="autoZero"/>
        <c:auto val="1"/>
        <c:lblAlgn val="ctr"/>
        <c:lblOffset val="100"/>
        <c:noMultiLvlLbl val="0"/>
      </c:catAx>
      <c:valAx>
        <c:axId val="12202480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15715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C00000">
                      <a:shade val="30000"/>
                      <a:satMod val="115000"/>
                    </a:srgbClr>
                  </a:gs>
                  <a:gs pos="50000">
                    <a:srgbClr val="C00000">
                      <a:shade val="67500"/>
                      <a:satMod val="115000"/>
                    </a:srgbClr>
                  </a:gs>
                  <a:gs pos="100000">
                    <a:srgbClr val="C0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3E4-41F7-B4C0-098C036E2F14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0B0F0">
                      <a:shade val="30000"/>
                      <a:satMod val="115000"/>
                    </a:srgbClr>
                  </a:gs>
                  <a:gs pos="50000">
                    <a:srgbClr val="00B0F0">
                      <a:shade val="67500"/>
                      <a:satMod val="115000"/>
                    </a:srgbClr>
                  </a:gs>
                  <a:gs pos="100000">
                    <a:srgbClr val="00B0F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3E4-41F7-B4C0-098C036E2F14}"/>
              </c:ext>
            </c:extLst>
          </c:dPt>
          <c:dPt>
            <c:idx val="2"/>
            <c:invertIfNegative val="0"/>
            <c:bubble3D val="0"/>
            <c:spPr>
              <a:solidFill>
                <a:srgbClr val="4FD1FF"/>
              </a:soli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B3E4-41F7-B4C0-098C036E2F14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B3E4-41F7-B4C0-098C036E2F14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bg1">
                      <a:lumMod val="85000"/>
                      <a:shade val="30000"/>
                      <a:satMod val="115000"/>
                    </a:schemeClr>
                  </a:gs>
                  <a:gs pos="50000">
                    <a:schemeClr val="bg1">
                      <a:lumMod val="85000"/>
                      <a:shade val="67500"/>
                      <a:satMod val="115000"/>
                    </a:schemeClr>
                  </a:gs>
                  <a:gs pos="100000">
                    <a:schemeClr val="bg1">
                      <a:lumMod val="85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B3E4-41F7-B4C0-098C036E2F14}"/>
              </c:ext>
            </c:extLst>
          </c:dPt>
          <c:cat>
            <c:strRef>
              <c:f>'Close Reason Analysis'!$N$4:$R$4</c:f>
              <c:strCache>
                <c:ptCount val="5"/>
                <c:pt idx="0">
                  <c:v>SF</c:v>
                </c:pt>
                <c:pt idx="1">
                  <c:v>TC</c:v>
                </c:pt>
                <c:pt idx="2">
                  <c:v>DC</c:v>
                </c:pt>
                <c:pt idx="3">
                  <c:v>Keep Went</c:v>
                </c:pt>
                <c:pt idx="4">
                  <c:v>RNG</c:v>
                </c:pt>
              </c:strCache>
            </c:strRef>
          </c:cat>
          <c:val>
            <c:numRef>
              <c:f>'Close Reason Analysis'!$N$5:$R$5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4-41F7-B4C0-098C036E2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4366736"/>
        <c:axId val="1164362576"/>
        <c:axId val="0"/>
      </c:bar3DChart>
      <c:catAx>
        <c:axId val="116436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1164362576"/>
        <c:crosses val="autoZero"/>
        <c:auto val="1"/>
        <c:lblAlgn val="ctr"/>
        <c:lblOffset val="100"/>
        <c:noMultiLvlLbl val="0"/>
      </c:catAx>
      <c:valAx>
        <c:axId val="11643625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16436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chemeClr val="bg1">
                      <a:lumMod val="85000"/>
                      <a:shade val="30000"/>
                      <a:satMod val="115000"/>
                    </a:schemeClr>
                  </a:gs>
                  <a:gs pos="50000">
                    <a:schemeClr val="bg1">
                      <a:lumMod val="85000"/>
                      <a:shade val="67500"/>
                      <a:satMod val="115000"/>
                    </a:schemeClr>
                  </a:gs>
                  <a:gs pos="100000">
                    <a:schemeClr val="bg1">
                      <a:lumMod val="85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AC4-47FE-AF6E-61973ED9D5CE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5AC4-47FE-AF6E-61973ED9D5CE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5AC4-47FE-AF6E-61973ED9D5CE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5AC4-47FE-AF6E-61973ED9D5CE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7979">
                      <a:shade val="30000"/>
                      <a:satMod val="115000"/>
                    </a:srgbClr>
                  </a:gs>
                  <a:gs pos="50000">
                    <a:srgbClr val="FF7979">
                      <a:shade val="67500"/>
                      <a:satMod val="115000"/>
                    </a:srgbClr>
                  </a:gs>
                  <a:gs pos="100000">
                    <a:srgbClr val="FF7979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AC4-47FE-AF6E-61973ED9D5CE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5AC4-47FE-AF6E-61973ED9D5CE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5AC4-47FE-AF6E-61973ED9D5CE}"/>
              </c:ext>
            </c:extLst>
          </c:dPt>
          <c:dPt>
            <c:idx val="7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5AC4-47FE-AF6E-61973ED9D5CE}"/>
              </c:ext>
            </c:extLst>
          </c:dPt>
          <c:cat>
            <c:strRef>
              <c:f>'Close Reason Analysis'!$H$37:$O$37</c:f>
              <c:strCache>
                <c:ptCount val="8"/>
                <c:pt idx="0">
                  <c:v>Total Trade</c:v>
                </c:pt>
                <c:pt idx="1">
                  <c:v>TP</c:v>
                </c:pt>
                <c:pt idx="2">
                  <c:v>SL</c:v>
                </c:pt>
                <c:pt idx="3">
                  <c:v>PS</c:v>
                </c:pt>
                <c:pt idx="4">
                  <c:v>LS</c:v>
                </c:pt>
                <c:pt idx="5">
                  <c:v>RF</c:v>
                </c:pt>
                <c:pt idx="6">
                  <c:v>OT +</c:v>
                </c:pt>
                <c:pt idx="7">
                  <c:v>OT -</c:v>
                </c:pt>
              </c:strCache>
            </c:strRef>
          </c:cat>
          <c:val>
            <c:numRef>
              <c:f>'Close Reason Analysis'!$H$38:$O$38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C4-47FE-AF6E-61973ED9D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6602400"/>
        <c:axId val="1216598240"/>
        <c:axId val="0"/>
      </c:bar3DChart>
      <c:catAx>
        <c:axId val="12166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1216598240"/>
        <c:crosses val="autoZero"/>
        <c:auto val="1"/>
        <c:lblAlgn val="ctr"/>
        <c:lblOffset val="100"/>
        <c:noMultiLvlLbl val="0"/>
      </c:catAx>
      <c:valAx>
        <c:axId val="12165982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216602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C00000">
                      <a:shade val="30000"/>
                      <a:satMod val="115000"/>
                    </a:srgbClr>
                  </a:gs>
                  <a:gs pos="50000">
                    <a:srgbClr val="C00000">
                      <a:shade val="67500"/>
                      <a:satMod val="115000"/>
                    </a:srgbClr>
                  </a:gs>
                  <a:gs pos="100000">
                    <a:srgbClr val="C0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0B2-449E-90A3-70CB1B4A6B78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0B0F0">
                      <a:shade val="30000"/>
                      <a:satMod val="115000"/>
                    </a:srgbClr>
                  </a:gs>
                  <a:gs pos="50000">
                    <a:srgbClr val="00B0F0">
                      <a:shade val="67500"/>
                      <a:satMod val="115000"/>
                    </a:srgbClr>
                  </a:gs>
                  <a:gs pos="100000">
                    <a:srgbClr val="00B0F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0B2-449E-90A3-70CB1B4A6B78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4FD1FF">
                      <a:shade val="30000"/>
                      <a:satMod val="115000"/>
                    </a:srgbClr>
                  </a:gs>
                  <a:gs pos="50000">
                    <a:srgbClr val="4FD1FF">
                      <a:shade val="67500"/>
                      <a:satMod val="115000"/>
                    </a:srgbClr>
                  </a:gs>
                  <a:gs pos="100000">
                    <a:srgbClr val="4FD1FF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0B2-449E-90A3-70CB1B4A6B78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A0B2-449E-90A3-70CB1B4A6B78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bg1">
                      <a:lumMod val="85000"/>
                      <a:shade val="30000"/>
                      <a:satMod val="115000"/>
                    </a:schemeClr>
                  </a:gs>
                  <a:gs pos="50000">
                    <a:schemeClr val="bg1">
                      <a:lumMod val="85000"/>
                      <a:shade val="67500"/>
                      <a:satMod val="115000"/>
                    </a:schemeClr>
                  </a:gs>
                  <a:gs pos="100000">
                    <a:schemeClr val="bg1">
                      <a:lumMod val="85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0B2-449E-90A3-70CB1B4A6B78}"/>
              </c:ext>
            </c:extLst>
          </c:dPt>
          <c:cat>
            <c:strRef>
              <c:f>'Close Reason Analysis'!$B$19:$F$19</c:f>
              <c:strCache>
                <c:ptCount val="5"/>
                <c:pt idx="0">
                  <c:v>SF</c:v>
                </c:pt>
                <c:pt idx="1">
                  <c:v>TC</c:v>
                </c:pt>
                <c:pt idx="2">
                  <c:v>DC</c:v>
                </c:pt>
                <c:pt idx="3">
                  <c:v>Keep Went</c:v>
                </c:pt>
                <c:pt idx="4">
                  <c:v>RNG</c:v>
                </c:pt>
              </c:strCache>
            </c:strRef>
          </c:cat>
          <c:val>
            <c:numRef>
              <c:f>'Close Reason Analysis'!$B$20:$F$20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B2-449E-90A3-70CB1B4A6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2679488"/>
        <c:axId val="2032680320"/>
        <c:axId val="0"/>
      </c:bar3DChart>
      <c:catAx>
        <c:axId val="203267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2032680320"/>
        <c:crosses val="autoZero"/>
        <c:auto val="1"/>
        <c:lblAlgn val="ctr"/>
        <c:lblOffset val="100"/>
        <c:noMultiLvlLbl val="0"/>
      </c:catAx>
      <c:valAx>
        <c:axId val="20326803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203267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C00000">
                      <a:shade val="30000"/>
                      <a:satMod val="115000"/>
                    </a:srgbClr>
                  </a:gs>
                  <a:gs pos="50000">
                    <a:srgbClr val="C00000">
                      <a:shade val="67500"/>
                      <a:satMod val="115000"/>
                    </a:srgbClr>
                  </a:gs>
                  <a:gs pos="100000">
                    <a:srgbClr val="C0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A33F-4E45-8522-8A1E6D3067FC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0B0F0">
                      <a:shade val="30000"/>
                      <a:satMod val="115000"/>
                    </a:srgbClr>
                  </a:gs>
                  <a:gs pos="50000">
                    <a:srgbClr val="00B0F0">
                      <a:shade val="67500"/>
                      <a:satMod val="115000"/>
                    </a:srgbClr>
                  </a:gs>
                  <a:gs pos="100000">
                    <a:srgbClr val="00B0F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33F-4E45-8522-8A1E6D3067FC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4FD1FF">
                      <a:shade val="30000"/>
                      <a:satMod val="115000"/>
                    </a:srgbClr>
                  </a:gs>
                  <a:gs pos="50000">
                    <a:srgbClr val="4FD1FF">
                      <a:shade val="67500"/>
                      <a:satMod val="115000"/>
                    </a:srgbClr>
                  </a:gs>
                  <a:gs pos="100000">
                    <a:srgbClr val="4FD1FF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33F-4E45-8522-8A1E6D3067FC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A33F-4E45-8522-8A1E6D3067FC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bg1">
                      <a:lumMod val="85000"/>
                      <a:shade val="30000"/>
                      <a:satMod val="115000"/>
                    </a:schemeClr>
                  </a:gs>
                  <a:gs pos="50000">
                    <a:schemeClr val="bg1">
                      <a:lumMod val="85000"/>
                      <a:shade val="67500"/>
                      <a:satMod val="115000"/>
                    </a:schemeClr>
                  </a:gs>
                  <a:gs pos="100000">
                    <a:schemeClr val="bg1">
                      <a:lumMod val="85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A33F-4E45-8522-8A1E6D3067FC}"/>
              </c:ext>
            </c:extLst>
          </c:dPt>
          <c:cat>
            <c:strRef>
              <c:f>'Close Reason Analysis'!$H$19:$L$19</c:f>
              <c:strCache>
                <c:ptCount val="5"/>
                <c:pt idx="0">
                  <c:v>SF</c:v>
                </c:pt>
                <c:pt idx="1">
                  <c:v>TC</c:v>
                </c:pt>
                <c:pt idx="2">
                  <c:v>DC</c:v>
                </c:pt>
                <c:pt idx="3">
                  <c:v>Keep Went</c:v>
                </c:pt>
                <c:pt idx="4">
                  <c:v>RNG</c:v>
                </c:pt>
              </c:strCache>
            </c:strRef>
          </c:cat>
          <c:val>
            <c:numRef>
              <c:f>'Close Reason Analysis'!$H$20:$L$20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F-4E45-8522-8A1E6D306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2677408"/>
        <c:axId val="2030940896"/>
        <c:axId val="0"/>
      </c:bar3DChart>
      <c:catAx>
        <c:axId val="203267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2030940896"/>
        <c:crosses val="autoZero"/>
        <c:auto val="1"/>
        <c:lblAlgn val="ctr"/>
        <c:lblOffset val="100"/>
        <c:noMultiLvlLbl val="0"/>
      </c:catAx>
      <c:valAx>
        <c:axId val="20309408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2032677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gradFill flip="none" rotWithShape="1">
          <a:gsLst>
            <a:gs pos="0">
              <a:schemeClr val="bg1">
                <a:lumMod val="85000"/>
                <a:shade val="30000"/>
                <a:satMod val="115000"/>
              </a:schemeClr>
            </a:gs>
            <a:gs pos="50000">
              <a:schemeClr val="bg1">
                <a:lumMod val="85000"/>
                <a:shade val="67500"/>
                <a:satMod val="115000"/>
              </a:schemeClr>
            </a:gs>
            <a:gs pos="100000">
              <a:schemeClr val="bg1">
                <a:lumMod val="8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solidFill>
            <a:sysClr val="windowText" lastClr="000000"/>
          </a:solidFill>
        </a:ln>
        <a:effectLst/>
        <a:sp3d>
          <a:contourClr>
            <a:sysClr val="windowText" lastClr="000000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C00000">
                      <a:shade val="30000"/>
                      <a:satMod val="115000"/>
                    </a:srgbClr>
                  </a:gs>
                  <a:gs pos="50000">
                    <a:srgbClr val="C00000">
                      <a:shade val="67500"/>
                      <a:satMod val="115000"/>
                    </a:srgbClr>
                  </a:gs>
                  <a:gs pos="100000">
                    <a:srgbClr val="C0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14B-420E-8D62-09F8D7E7BB62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00B0F0">
                      <a:shade val="30000"/>
                      <a:satMod val="115000"/>
                    </a:srgbClr>
                  </a:gs>
                  <a:gs pos="50000">
                    <a:srgbClr val="00B0F0">
                      <a:shade val="67500"/>
                      <a:satMod val="115000"/>
                    </a:srgbClr>
                  </a:gs>
                  <a:gs pos="100000">
                    <a:srgbClr val="00B0F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14B-420E-8D62-09F8D7E7BB62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4FD1FF">
                      <a:shade val="30000"/>
                      <a:satMod val="115000"/>
                    </a:srgbClr>
                  </a:gs>
                  <a:gs pos="50000">
                    <a:srgbClr val="4FD1FF">
                      <a:shade val="67500"/>
                      <a:satMod val="115000"/>
                    </a:srgbClr>
                  </a:gs>
                  <a:gs pos="100000">
                    <a:srgbClr val="4FD1FF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314B-420E-8D62-09F8D7E7BB62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14B-420E-8D62-09F8D7E7BB62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5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5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14B-420E-8D62-09F8D7E7BB62}"/>
              </c:ext>
            </c:extLst>
          </c:dPt>
          <c:cat>
            <c:strRef>
              <c:f>'Close Reason Analysis'!$N$19:$R$19</c:f>
              <c:strCache>
                <c:ptCount val="5"/>
                <c:pt idx="0">
                  <c:v>SF</c:v>
                </c:pt>
                <c:pt idx="1">
                  <c:v>TC</c:v>
                </c:pt>
                <c:pt idx="2">
                  <c:v>DC</c:v>
                </c:pt>
                <c:pt idx="3">
                  <c:v>Keep Went</c:v>
                </c:pt>
                <c:pt idx="4">
                  <c:v>RNG</c:v>
                </c:pt>
              </c:strCache>
            </c:strRef>
          </c:cat>
          <c:val>
            <c:numRef>
              <c:f>'Close Reason Analysis'!$N$20:$R$20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B-420E-8D62-09F8D7E7B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37894960"/>
        <c:axId val="2037899120"/>
        <c:axId val="0"/>
      </c:bar3DChart>
      <c:catAx>
        <c:axId val="203789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2037899120"/>
        <c:crosses val="autoZero"/>
        <c:auto val="1"/>
        <c:lblAlgn val="ctr"/>
        <c:lblOffset val="100"/>
        <c:noMultiLvlLbl val="0"/>
      </c:catAx>
      <c:valAx>
        <c:axId val="203789912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203789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E8C-4525-842F-51D0E40460C9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6E8C-4525-842F-51D0E40460C9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6E8C-4525-842F-51D0E40460C9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6E8C-4525-842F-51D0E40460C9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2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6E8C-4525-842F-51D0E40460C9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E8C-4525-842F-51D0E40460C9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6E8C-4525-842F-51D0E40460C9}"/>
              </c:ext>
            </c:extLst>
          </c:dPt>
          <c:cat>
            <c:strRef>
              <c:f>'Positon Analysis'!$E$4:$E$10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'Positon Analysis'!$F$4:$F$10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C-4525-842F-51D0E4046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0533039"/>
        <c:axId val="810538031"/>
        <c:axId val="0"/>
      </c:bar3DChart>
      <c:catAx>
        <c:axId val="810533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810538031"/>
        <c:crosses val="autoZero"/>
        <c:auto val="1"/>
        <c:lblAlgn val="ctr"/>
        <c:lblOffset val="100"/>
        <c:noMultiLvlLbl val="0"/>
      </c:catAx>
      <c:valAx>
        <c:axId val="81053803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810533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324-4CBB-8492-FAF49742F4CB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324-4CBB-8492-FAF49742F4CB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24-4CBB-8492-FAF49742F4CB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2324-4CBB-8492-FAF49742F4CB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2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24-4CBB-8492-FAF49742F4CB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324-4CBB-8492-FAF49742F4CB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324-4CBB-8492-FAF49742F4CB}"/>
              </c:ext>
            </c:extLst>
          </c:dPt>
          <c:cat>
            <c:strRef>
              <c:f>'Positon Analysis'!$K$4:$K$10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'Positon Analysis'!$L$4:$L$10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24-4CBB-8492-FAF49742F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59690479"/>
        <c:axId val="659691311"/>
        <c:axId val="0"/>
      </c:bar3DChart>
      <c:catAx>
        <c:axId val="6596904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659691311"/>
        <c:crosses val="autoZero"/>
        <c:auto val="1"/>
        <c:lblAlgn val="ctr"/>
        <c:lblOffset val="100"/>
        <c:noMultiLvlLbl val="0"/>
      </c:catAx>
      <c:valAx>
        <c:axId val="6596913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5969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A08-4CA6-B2E1-0DA467079115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A08-4CA6-B2E1-0DA467079115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A08-4CA6-B2E1-0DA467079115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0A08-4CA6-B2E1-0DA467079115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2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0A08-4CA6-B2E1-0DA467079115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A08-4CA6-B2E1-0DA467079115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0A08-4CA6-B2E1-0DA467079115}"/>
              </c:ext>
            </c:extLst>
          </c:dPt>
          <c:cat>
            <c:strRef>
              <c:f>'Day Analysis'!$E$4:$E$10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'Day Analysis'!$F$4:$F$10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8-4CA6-B2E1-0DA467079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55123839"/>
        <c:axId val="1455120095"/>
        <c:axId val="0"/>
      </c:bar3DChart>
      <c:catAx>
        <c:axId val="145512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1455120095"/>
        <c:crosses val="autoZero"/>
        <c:auto val="1"/>
        <c:lblAlgn val="ctr"/>
        <c:lblOffset val="100"/>
        <c:noMultiLvlLbl val="0"/>
      </c:catAx>
      <c:valAx>
        <c:axId val="145512009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14551238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ysClr val="windowText" lastClr="000000"/>
          </a:solidFill>
        </a:ln>
        <a:effectLst/>
        <a:sp3d>
          <a:contourClr>
            <a:sysClr val="windowText" lastClr="000000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C54-460F-8E33-D27A2DABCB64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1C54-460F-8E33-D27A2DABCB64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C54-460F-8E33-D27A2DABCB64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1C54-460F-8E33-D27A2DABCB64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2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C54-460F-8E33-D27A2DABCB64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1C54-460F-8E33-D27A2DABCB64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1C54-460F-8E33-D27A2DABCB64}"/>
              </c:ext>
            </c:extLst>
          </c:dPt>
          <c:cat>
            <c:strRef>
              <c:f>'Day Analysis'!$K$4:$K$10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'Day Analysis'!$L$4:$L$10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4-460F-8E33-D27A2DABC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7759583"/>
        <c:axId val="797758335"/>
        <c:axId val="0"/>
      </c:bar3DChart>
      <c:catAx>
        <c:axId val="7977595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797758335"/>
        <c:crosses val="autoZero"/>
        <c:auto val="1"/>
        <c:lblAlgn val="ctr"/>
        <c:lblOffset val="100"/>
        <c:noMultiLvlLbl val="0"/>
      </c:catAx>
      <c:valAx>
        <c:axId val="79775833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7977595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4F-49F2-8BD0-4DA57F455440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4F-49F2-8BD0-4DA57F455440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CD4F-49F2-8BD0-4DA57F455440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40000"/>
                      <a:lumOff val="6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40000"/>
                      <a:lumOff val="6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40000"/>
                      <a:lumOff val="6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CD4F-49F2-8BD0-4DA57F455440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2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CD4F-49F2-8BD0-4DA57F455440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D4F-49F2-8BD0-4DA57F455440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2-CD4F-49F2-8BD0-4DA57F455440}"/>
              </c:ext>
            </c:extLst>
          </c:dPt>
          <c:cat>
            <c:strRef>
              <c:f>'Day Analysis'!$W$4:$W$10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'Day Analysis'!$X$4:$X$10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4F-49F2-8BD0-4DA57F455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7470255"/>
        <c:axId val="797461935"/>
        <c:axId val="0"/>
      </c:bar3DChart>
      <c:catAx>
        <c:axId val="797470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797461935"/>
        <c:crosses val="autoZero"/>
        <c:auto val="1"/>
        <c:lblAlgn val="ctr"/>
        <c:lblOffset val="100"/>
        <c:noMultiLvlLbl val="0"/>
      </c:catAx>
      <c:valAx>
        <c:axId val="79746193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797470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ysClr val="windowText" lastClr="000000"/>
          </a:solidFill>
        </a:ln>
        <a:effectLst/>
        <a:sp3d>
          <a:contourClr>
            <a:sysClr val="windowText" lastClr="000000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4B5-4EE1-BE13-A01AFDB4F778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4B5-4EE1-BE13-A01AFDB4F778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4B5-4EE1-BE13-A01AFDB4F778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4B5-4EE1-BE13-A01AFDB4F778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2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4B5-4EE1-BE13-A01AFDB4F778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4B5-4EE1-BE13-A01AFDB4F778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4B5-4EE1-BE13-A01AFDB4F778}"/>
              </c:ext>
            </c:extLst>
          </c:dPt>
          <c:cat>
            <c:strRef>
              <c:f>'Day Analysis'!$AC$4:$AC$10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'Day Analysis'!$AD$4:$AD$10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4B5-4EE1-BE13-A01AFDB4F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7470255"/>
        <c:axId val="797461935"/>
        <c:axId val="0"/>
      </c:bar3DChart>
      <c:catAx>
        <c:axId val="797470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797461935"/>
        <c:crosses val="autoZero"/>
        <c:auto val="1"/>
        <c:lblAlgn val="ctr"/>
        <c:lblOffset val="100"/>
        <c:noMultiLvlLbl val="0"/>
      </c:catAx>
      <c:valAx>
        <c:axId val="79746193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797470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ysClr val="windowText" lastClr="000000"/>
          </a:solidFill>
        </a:ln>
        <a:effectLst/>
        <a:sp3d>
          <a:contourClr>
            <a:sysClr val="windowText" lastClr="000000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CFA-49C7-8A62-E50451B5E057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CFA-49C7-8A62-E50451B5E057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CFA-49C7-8A62-E50451B5E057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7CFA-49C7-8A62-E50451B5E057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7CFA-49C7-8A62-E50451B5E057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CFA-49C7-8A62-E50451B5E057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7CFA-49C7-8A62-E50451B5E057}"/>
              </c:ext>
            </c:extLst>
          </c:dPt>
          <c:cat>
            <c:strRef>
              <c:f>'Day Analysis'!$Q$4:$Q$10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'Day Analysis'!$R$4:$R$10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8-4C2E-8149-B64E8DAA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8375952"/>
        <c:axId val="238375536"/>
        <c:axId val="0"/>
      </c:bar3DChart>
      <c:catAx>
        <c:axId val="2383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238375536"/>
        <c:crosses val="autoZero"/>
        <c:auto val="1"/>
        <c:lblAlgn val="ctr"/>
        <c:lblOffset val="100"/>
        <c:noMultiLvlLbl val="0"/>
      </c:catAx>
      <c:valAx>
        <c:axId val="2383755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23837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3F6B-4109-851C-E93767050CC2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1515">
                      <a:shade val="30000"/>
                      <a:satMod val="115000"/>
                    </a:srgbClr>
                  </a:gs>
                  <a:gs pos="50000">
                    <a:srgbClr val="FF1515">
                      <a:shade val="67500"/>
                      <a:satMod val="115000"/>
                    </a:srgbClr>
                  </a:gs>
                  <a:gs pos="100000">
                    <a:srgbClr val="FF1515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F6B-4109-851C-E93767050CC2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F6B-4109-851C-E93767050CC2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40000"/>
                      <a:lumOff val="6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40000"/>
                      <a:lumOff val="6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40000"/>
                      <a:lumOff val="6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F6B-4109-851C-E93767050CC2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3F6B-4109-851C-E93767050CC2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F6B-4109-851C-E93767050CC2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 prstMaterial="flat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F6B-4109-851C-E93767050CC2}"/>
              </c:ext>
            </c:extLst>
          </c:dPt>
          <c:cat>
            <c:strRef>
              <c:f>'Level Analysis'!$F$3:$F$9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'Level Analysis'!$G$3:$G$9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C-4F09-9C55-0720C66A5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gapDepth val="53"/>
        <c:shape val="box"/>
        <c:axId val="1091850479"/>
        <c:axId val="1091845487"/>
        <c:axId val="0"/>
      </c:bar3DChart>
      <c:catAx>
        <c:axId val="1091850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1091845487"/>
        <c:crosses val="autoZero"/>
        <c:auto val="1"/>
        <c:lblAlgn val="ctr"/>
        <c:lblOffset val="100"/>
        <c:noMultiLvlLbl val="0"/>
      </c:catAx>
      <c:valAx>
        <c:axId val="1091845487"/>
        <c:scaling>
          <c:orientation val="minMax"/>
        </c:scaling>
        <c:delete val="1"/>
        <c:axPos val="l"/>
        <c:majorGridlines>
          <c:spPr>
            <a:ln w="9525">
              <a:solidFill>
                <a:schemeClr val="lt1">
                  <a:lumMod val="50000"/>
                </a:schemeClr>
              </a:solidFill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109185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D17-4A3D-80A9-E021FDC97B54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D17-4A3D-80A9-E021FDC97B54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D17-4A3D-80A9-E021FDC97B54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D17-4A3D-80A9-E021FDC97B54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5D17-4A3D-80A9-E021FDC97B54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D17-4A3D-80A9-E021FDC97B54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5D17-4A3D-80A9-E021FDC97B54}"/>
              </c:ext>
            </c:extLst>
          </c:dPt>
          <c:cat>
            <c:strRef>
              <c:f>'Level Analysis'!$F$26:$F$32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'Level Analysis'!$G$26:$G$32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5-4456-92AC-DF074C7E3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1305183"/>
        <c:axId val="1181298527"/>
        <c:axId val="0"/>
      </c:bar3DChart>
      <c:catAx>
        <c:axId val="11813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1181298527"/>
        <c:crosses val="autoZero"/>
        <c:auto val="1"/>
        <c:lblAlgn val="ctr"/>
        <c:lblOffset val="100"/>
        <c:noMultiLvlLbl val="0"/>
      </c:catAx>
      <c:valAx>
        <c:axId val="11812985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1813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F98F-44BF-B2B9-9CC8C8F198A4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98F-44BF-B2B9-9CC8C8F198A4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98F-44BF-B2B9-9CC8C8F198A4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98F-44BF-B2B9-9CC8C8F198A4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98F-44BF-B2B9-9CC8C8F198A4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98F-44BF-B2B9-9CC8C8F198A4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98F-44BF-B2B9-9CC8C8F198A4}"/>
              </c:ext>
            </c:extLst>
          </c:dPt>
          <c:cat>
            <c:strRef>
              <c:f>'Level Analysis'!$L$3:$L$9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'Level Analysis'!$M$3:$M$9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4-46B4-902D-7997FA66D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2034367"/>
        <c:axId val="1232036031"/>
        <c:axId val="0"/>
      </c:bar3DChart>
      <c:catAx>
        <c:axId val="1232034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1232036031"/>
        <c:crosses val="autoZero"/>
        <c:auto val="1"/>
        <c:lblAlgn val="ctr"/>
        <c:lblOffset val="100"/>
        <c:noMultiLvlLbl val="0"/>
      </c:catAx>
      <c:valAx>
        <c:axId val="123203603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23203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EBC1-4BD7-9680-C549B8997A81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C1-4BD7-9680-C549B8997A81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C1-4BD7-9680-C549B8997A81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C1-4BD7-9680-C549B8997A81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EBC1-4BD7-9680-C549B8997A81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EBC1-4BD7-9680-C549B8997A81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C1-4BD7-9680-C549B8997A81}"/>
              </c:ext>
            </c:extLst>
          </c:dPt>
          <c:cat>
            <c:strRef>
              <c:f>'Level Analysis'!$L$26:$L$32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'Level Analysis'!$M$26:$M$32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F-474A-A739-03200AD2B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40511215"/>
        <c:axId val="1340522031"/>
        <c:axId val="0"/>
      </c:bar3DChart>
      <c:catAx>
        <c:axId val="1340511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1340522031"/>
        <c:crosses val="autoZero"/>
        <c:auto val="1"/>
        <c:lblAlgn val="ctr"/>
        <c:lblOffset val="100"/>
        <c:noMultiLvlLbl val="0"/>
      </c:catAx>
      <c:valAx>
        <c:axId val="134052203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340511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5534-4640-823F-781DFCC36219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534-4640-823F-781DFCC36219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534-4640-823F-781DFCC36219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5534-4640-823F-781DFCC36219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5534-4640-823F-781DFCC36219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534-4640-823F-781DFCC36219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ysClr val="windowText" lastClr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5534-4640-823F-781DFCC36219}"/>
              </c:ext>
            </c:extLst>
          </c:dPt>
          <c:cat>
            <c:strRef>
              <c:f>'Level Analysis'!$R$3:$R$9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'Level Analysis'!$S$3:$S$9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E-47B7-90F2-E0806D64F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6639103"/>
        <c:axId val="1096637439"/>
        <c:axId val="0"/>
      </c:bar3DChart>
      <c:catAx>
        <c:axId val="1096639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1096637439"/>
        <c:crosses val="autoZero"/>
        <c:auto val="1"/>
        <c:lblAlgn val="ctr"/>
        <c:lblOffset val="100"/>
        <c:noMultiLvlLbl val="0"/>
      </c:catAx>
      <c:valAx>
        <c:axId val="109663743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096639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BC-4CFF-B5AE-271C32237AF1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50BC-4CFF-B5AE-271C32237AF1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0BC-4CFF-B5AE-271C32237AF1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0BC-4CFF-B5AE-271C32237AF1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50BC-4CFF-B5AE-271C32237AF1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50BC-4CFF-B5AE-271C32237AF1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50BC-4CFF-B5AE-271C32237AF1}"/>
              </c:ext>
            </c:extLst>
          </c:dPt>
          <c:cat>
            <c:strRef>
              <c:f>'Level Analysis'!$R$26:$R$32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'Level Analysis'!$S$26:$S$32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1-4A6F-BACD-C850FEF9D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2041855"/>
        <c:axId val="1232043103"/>
        <c:axId val="0"/>
      </c:bar3DChart>
      <c:catAx>
        <c:axId val="1232041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1232043103"/>
        <c:crosses val="autoZero"/>
        <c:auto val="1"/>
        <c:lblAlgn val="ctr"/>
        <c:lblOffset val="100"/>
        <c:noMultiLvlLbl val="0"/>
      </c:catAx>
      <c:valAx>
        <c:axId val="1232043103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crossAx val="1232041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77B-451A-9317-E70CDE7487DB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77B-451A-9317-E70CDE7487DB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77B-451A-9317-E70CDE7487DB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7B-451A-9317-E70CDE7487DB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2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77B-451A-9317-E70CDE7487DB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77B-451A-9317-E70CDE7487DB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77B-451A-9317-E70CDE7487DB}"/>
              </c:ext>
            </c:extLst>
          </c:dPt>
          <c:cat>
            <c:strRef>
              <c:f>'Level Analysis'!$X$3:$X$9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'Level Analysis'!$Y$3:$Y$9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B-451A-9317-E70CDE74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09656479"/>
        <c:axId val="709664799"/>
        <c:axId val="0"/>
      </c:bar3DChart>
      <c:catAx>
        <c:axId val="7096564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9664799"/>
        <c:crosses val="autoZero"/>
        <c:auto val="1"/>
        <c:lblAlgn val="ctr"/>
        <c:lblOffset val="100"/>
        <c:noMultiLvlLbl val="0"/>
      </c:catAx>
      <c:valAx>
        <c:axId val="7096647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709656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0F3-485A-BFDE-F832885045F1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0F3-485A-BFDE-F832885045F1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0F3-485A-BFDE-F832885045F1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0F3-485A-BFDE-F832885045F1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2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0F3-485A-BFDE-F832885045F1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20F3-485A-BFDE-F832885045F1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rgbClr val="000000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0F3-485A-BFDE-F832885045F1}"/>
              </c:ext>
            </c:extLst>
          </c:dPt>
          <c:cat>
            <c:strRef>
              <c:f>'Level Analysis'!$X$26:$X$32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'Level Analysis'!$Y$26:$Y$32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3-485A-BFDE-F83288504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1451663"/>
        <c:axId val="691449999"/>
        <c:axId val="0"/>
      </c:bar3DChart>
      <c:catAx>
        <c:axId val="69145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691449999"/>
        <c:crosses val="autoZero"/>
        <c:auto val="1"/>
        <c:lblAlgn val="ctr"/>
        <c:lblOffset val="100"/>
        <c:noMultiLvlLbl val="0"/>
      </c:catAx>
      <c:valAx>
        <c:axId val="69144999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691451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833D-49C7-9967-DCB132C82F81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833D-49C7-9967-DCB132C82F81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8-833D-49C7-9967-DCB132C82F81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33D-49C7-9967-DCB132C82F81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2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33D-49C7-9967-DCB132C82F81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833D-49C7-9967-DCB132C82F81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833D-49C7-9967-DCB132C82F81}"/>
              </c:ext>
            </c:extLst>
          </c:dPt>
          <c:cat>
            <c:strRef>
              <c:f>'Level Analysis'!$F$49:$F$55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'Level Analysis'!$G$49:$G$55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D-49C7-9967-DCB132C82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6052399"/>
        <c:axId val="876053231"/>
        <c:axId val="0"/>
      </c:bar3DChart>
      <c:catAx>
        <c:axId val="876052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876053231"/>
        <c:crosses val="autoZero"/>
        <c:auto val="1"/>
        <c:lblAlgn val="ctr"/>
        <c:lblOffset val="100"/>
        <c:noMultiLvlLbl val="0"/>
      </c:catAx>
      <c:valAx>
        <c:axId val="87605323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876052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solidFill>
            <a:schemeClr val="tx1"/>
          </a:solidFill>
        </a:ln>
        <a:effectLst/>
        <a:sp3d>
          <a:contourClr>
            <a:schemeClr val="tx1"/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5C7-4E91-804A-B6041D32D467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5C7-4E91-804A-B6041D32D467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85C7-4E91-804A-B6041D32D467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5C7-4E91-804A-B6041D32D467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2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5C7-4E91-804A-B6041D32D467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85C7-4E91-804A-B6041D32D467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5C7-4E91-804A-B6041D32D467}"/>
              </c:ext>
            </c:extLst>
          </c:dPt>
          <c:cat>
            <c:strRef>
              <c:f>'Level Analysis'!$L$49:$L$55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'Level Analysis'!$M$49:$M$55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7-4E91-804A-B6041D32D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24248639"/>
        <c:axId val="1024259455"/>
        <c:axId val="0"/>
      </c:bar3DChart>
      <c:catAx>
        <c:axId val="1024248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1024259455"/>
        <c:crosses val="autoZero"/>
        <c:auto val="1"/>
        <c:lblAlgn val="ctr"/>
        <c:lblOffset val="100"/>
        <c:noMultiLvlLbl val="0"/>
      </c:catAx>
      <c:valAx>
        <c:axId val="102425945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102424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F6C-4840-B52A-4CCB34E896DF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1515">
                      <a:shade val="30000"/>
                      <a:satMod val="115000"/>
                    </a:srgbClr>
                  </a:gs>
                  <a:gs pos="50000">
                    <a:srgbClr val="FF1515">
                      <a:shade val="67500"/>
                      <a:satMod val="115000"/>
                    </a:srgbClr>
                  </a:gs>
                  <a:gs pos="100000">
                    <a:srgbClr val="FF1515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7F6C-4840-B52A-4CCB34E896DF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7F6C-4840-B52A-4CCB34E896DF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F6C-4840-B52A-4CCB34E896DF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F6C-4840-B52A-4CCB34E896DF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7F6C-4840-B52A-4CCB34E896DF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7F6C-4840-B52A-4CCB34E896DF}"/>
              </c:ext>
            </c:extLst>
          </c:dPt>
          <c:cat>
            <c:strRef>
              <c:f>'Correction Analysis'!$E$3:$E$9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'Correction Analysis'!$F$3:$F$9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4-4FDF-AC7A-633717F60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529712"/>
        <c:axId val="362534704"/>
        <c:axId val="0"/>
      </c:bar3DChart>
      <c:catAx>
        <c:axId val="36252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362534704"/>
        <c:crosses val="autoZero"/>
        <c:auto val="1"/>
        <c:lblAlgn val="ctr"/>
        <c:lblOffset val="100"/>
        <c:noMultiLvlLbl val="0"/>
      </c:catAx>
      <c:valAx>
        <c:axId val="3625347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62529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8F0-4486-B926-3F5F926BBB18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8F0-4486-B926-3F5F926BBB18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8F0-4486-B926-3F5F926BBB18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8F0-4486-B926-3F5F926BBB18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8F0-4486-B926-3F5F926BBB18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8F0-4486-B926-3F5F926BBB18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18F0-4486-B926-3F5F926BBB18}"/>
              </c:ext>
            </c:extLst>
          </c:dPt>
          <c:cat>
            <c:strRef>
              <c:f>'Correction Analysis'!$K$3:$K$9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'Correction Analysis'!$L$3:$L$9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9-4E87-9DA2-6F2B6B611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8132976"/>
        <c:axId val="298128400"/>
        <c:axId val="0"/>
      </c:bar3DChart>
      <c:catAx>
        <c:axId val="29813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298128400"/>
        <c:crosses val="autoZero"/>
        <c:auto val="1"/>
        <c:lblAlgn val="ctr"/>
        <c:lblOffset val="100"/>
        <c:noMultiLvlLbl val="0"/>
      </c:catAx>
      <c:valAx>
        <c:axId val="2981284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29813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011-49CC-B208-99109C4BC139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011-49CC-B208-99109C4BC139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E011-49CC-B208-99109C4BC139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011-49CC-B208-99109C4BC139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E011-49CC-B208-99109C4BC139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011-49CC-B208-99109C4BC139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E011-49CC-B208-99109C4BC139}"/>
              </c:ext>
            </c:extLst>
          </c:dPt>
          <c:cat>
            <c:strRef>
              <c:f>'Correction Analysis'!$Q$3:$Q$9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'Correction Analysis'!$R$3:$R$9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D-42C3-891D-7D2E759F4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8124240"/>
        <c:axId val="298126736"/>
        <c:axId val="0"/>
      </c:bar3DChart>
      <c:catAx>
        <c:axId val="29812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298126736"/>
        <c:crosses val="autoZero"/>
        <c:auto val="1"/>
        <c:lblAlgn val="ctr"/>
        <c:lblOffset val="100"/>
        <c:noMultiLvlLbl val="0"/>
      </c:catAx>
      <c:valAx>
        <c:axId val="2981267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298124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BE0-4335-A36D-E281638303A0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BE0-4335-A36D-E281638303A0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BE0-4335-A36D-E281638303A0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CBE0-4335-A36D-E281638303A0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BE0-4335-A36D-E281638303A0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CBE0-4335-A36D-E281638303A0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BE0-4335-A36D-E281638303A0}"/>
              </c:ext>
            </c:extLst>
          </c:dPt>
          <c:cat>
            <c:strRef>
              <c:f>'Correction Analysis'!$E$29:$E$35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'Correction Analysis'!$F$29:$F$35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A-480F-9E13-2DD23E21B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8134224"/>
        <c:axId val="298130896"/>
        <c:axId val="0"/>
      </c:bar3DChart>
      <c:catAx>
        <c:axId val="29813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298130896"/>
        <c:crosses val="autoZero"/>
        <c:auto val="1"/>
        <c:lblAlgn val="ctr"/>
        <c:lblOffset val="100"/>
        <c:noMultiLvlLbl val="0"/>
      </c:catAx>
      <c:valAx>
        <c:axId val="2981308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29813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B050">
                      <a:shade val="30000"/>
                      <a:satMod val="115000"/>
                    </a:srgbClr>
                  </a:gs>
                  <a:gs pos="50000">
                    <a:srgbClr val="00B050">
                      <a:shade val="67500"/>
                      <a:satMod val="115000"/>
                    </a:srgbClr>
                  </a:gs>
                  <a:gs pos="100000">
                    <a:srgbClr val="00B05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61A-4C12-865B-A8E7E5E28F71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0">
                    <a:srgbClr val="FF0000">
                      <a:shade val="30000"/>
                      <a:satMod val="115000"/>
                    </a:srgbClr>
                  </a:gs>
                  <a:gs pos="50000">
                    <a:srgbClr val="FF0000">
                      <a:shade val="67500"/>
                      <a:satMod val="115000"/>
                    </a:srgbClr>
                  </a:gs>
                  <a:gs pos="100000">
                    <a:srgbClr val="FF0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61A-4C12-865B-A8E7E5E28F71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0">
                    <a:srgbClr val="FFFF00">
                      <a:shade val="30000"/>
                      <a:satMod val="115000"/>
                    </a:srgbClr>
                  </a:gs>
                  <a:gs pos="50000">
                    <a:srgbClr val="FFFF00">
                      <a:shade val="67500"/>
                      <a:satMod val="115000"/>
                    </a:srgbClr>
                  </a:gs>
                  <a:gs pos="100000">
                    <a:srgbClr val="FFFF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B61A-4C12-865B-A8E7E5E28F71}"/>
              </c:ext>
            </c:extLst>
          </c:dPt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6">
                      <a:lumMod val="60000"/>
                      <a:lumOff val="40000"/>
                      <a:shade val="30000"/>
                      <a:satMod val="115000"/>
                    </a:schemeClr>
                  </a:gs>
                  <a:gs pos="50000">
                    <a:schemeClr val="accent6">
                      <a:lumMod val="60000"/>
                      <a:lumOff val="40000"/>
                      <a:shade val="67500"/>
                      <a:satMod val="11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100000"/>
                      <a:satMod val="115000"/>
                    </a:scheme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61A-4C12-865B-A8E7E5E28F71}"/>
              </c:ext>
            </c:extLst>
          </c:dPt>
          <c:dPt>
            <c:idx val="4"/>
            <c:invertIfNegative val="0"/>
            <c:bubble3D val="0"/>
            <c:spPr>
              <a:gradFill flip="none" rotWithShape="1">
                <a:gsLst>
                  <a:gs pos="0">
                    <a:srgbClr val="FF8181">
                      <a:shade val="30000"/>
                      <a:satMod val="115000"/>
                    </a:srgbClr>
                  </a:gs>
                  <a:gs pos="50000">
                    <a:srgbClr val="FF8181">
                      <a:shade val="67500"/>
                      <a:satMod val="115000"/>
                    </a:srgbClr>
                  </a:gs>
                  <a:gs pos="100000">
                    <a:srgbClr val="FF8181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61A-4C12-865B-A8E7E5E28F71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0">
                    <a:srgbClr val="7030A0">
                      <a:shade val="30000"/>
                      <a:satMod val="115000"/>
                    </a:srgbClr>
                  </a:gs>
                  <a:gs pos="50000">
                    <a:srgbClr val="7030A0">
                      <a:shade val="67500"/>
                      <a:satMod val="115000"/>
                    </a:srgbClr>
                  </a:gs>
                  <a:gs pos="100000">
                    <a:srgbClr val="7030A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61A-4C12-865B-A8E7E5E28F71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0">
                    <a:srgbClr val="FFC000">
                      <a:shade val="30000"/>
                      <a:satMod val="115000"/>
                    </a:srgbClr>
                  </a:gs>
                  <a:gs pos="50000">
                    <a:srgbClr val="FFC000">
                      <a:shade val="67500"/>
                      <a:satMod val="115000"/>
                    </a:srgbClr>
                  </a:gs>
                  <a:gs pos="100000">
                    <a:srgbClr val="FFC000">
                      <a:shade val="100000"/>
                      <a:satMod val="115000"/>
                    </a:srgbClr>
                  </a:gs>
                </a:gsLst>
                <a:path path="circle">
                  <a:fillToRect l="50000" t="50000" r="50000" b="50000"/>
                </a:path>
                <a:tileRect/>
              </a:gradFill>
              <a:ln>
                <a:solidFill>
                  <a:schemeClr val="tx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B61A-4C12-865B-A8E7E5E28F71}"/>
              </c:ext>
            </c:extLst>
          </c:dPt>
          <c:cat>
            <c:strRef>
              <c:f>'Correction Analysis'!$K$29:$K$35</c:f>
              <c:strCache>
                <c:ptCount val="7"/>
                <c:pt idx="0">
                  <c:v>TP</c:v>
                </c:pt>
                <c:pt idx="1">
                  <c:v>SL</c:v>
                </c:pt>
                <c:pt idx="2">
                  <c:v>RF</c:v>
                </c:pt>
                <c:pt idx="3">
                  <c:v>PS</c:v>
                </c:pt>
                <c:pt idx="4">
                  <c:v>LS</c:v>
                </c:pt>
                <c:pt idx="5">
                  <c:v>OT +</c:v>
                </c:pt>
                <c:pt idx="6">
                  <c:v>OT -</c:v>
                </c:pt>
              </c:strCache>
            </c:strRef>
          </c:cat>
          <c:val>
            <c:numRef>
              <c:f>'Correction Analysis'!$L$29:$L$35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4-4E4D-BB3D-C62887841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2540288"/>
        <c:axId val="362549856"/>
        <c:axId val="0"/>
      </c:bar3DChart>
      <c:catAx>
        <c:axId val="3625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Bauhaus 93" panose="04030905020B02020C02" pitchFamily="82" charset="0"/>
                <a:ea typeface="+mn-ea"/>
                <a:cs typeface="+mn-cs"/>
              </a:defRPr>
            </a:pPr>
            <a:endParaRPr lang="en-US"/>
          </a:p>
        </c:txPr>
        <c:crossAx val="362549856"/>
        <c:crosses val="autoZero"/>
        <c:auto val="1"/>
        <c:lblAlgn val="ctr"/>
        <c:lblOffset val="100"/>
        <c:noMultiLvlLbl val="0"/>
      </c:catAx>
      <c:valAx>
        <c:axId val="3625498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crossAx val="36254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11</xdr:col>
      <xdr:colOff>612320</xdr:colOff>
      <xdr:row>40</xdr:row>
      <xdr:rowOff>163286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1" y="993321"/>
          <a:ext cx="6735535" cy="7783286"/>
        </a:xfrm>
        <a:prstGeom prst="roundRect">
          <a:avLst>
            <a:gd name="adj" fmla="val 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75406</xdr:colOff>
      <xdr:row>2</xdr:row>
      <xdr:rowOff>329402</xdr:rowOff>
    </xdr:from>
    <xdr:to>
      <xdr:col>32</xdr:col>
      <xdr:colOff>222250</xdr:colOff>
      <xdr:row>10</xdr:row>
      <xdr:rowOff>165962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3031" y="1297777"/>
          <a:ext cx="2559844" cy="264643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24</xdr:col>
      <xdr:colOff>63497</xdr:colOff>
      <xdr:row>2</xdr:row>
      <xdr:rowOff>440529</xdr:rowOff>
    </xdr:from>
    <xdr:to>
      <xdr:col>27</xdr:col>
      <xdr:colOff>746125</xdr:colOff>
      <xdr:row>10</xdr:row>
      <xdr:rowOff>190500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69622" y="1408904"/>
          <a:ext cx="2492378" cy="255984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18</xdr:col>
      <xdr:colOff>509410</xdr:colOff>
      <xdr:row>2</xdr:row>
      <xdr:rowOff>31749</xdr:rowOff>
    </xdr:from>
    <xdr:to>
      <xdr:col>23</xdr:col>
      <xdr:colOff>285749</xdr:colOff>
      <xdr:row>11</xdr:row>
      <xdr:rowOff>163285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0410" y="857249"/>
          <a:ext cx="2792589" cy="32543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33</xdr:col>
      <xdr:colOff>142876</xdr:colOff>
      <xdr:row>3</xdr:row>
      <xdr:rowOff>206376</xdr:rowOff>
    </xdr:from>
    <xdr:to>
      <xdr:col>36</xdr:col>
      <xdr:colOff>428628</xdr:colOff>
      <xdr:row>9</xdr:row>
      <xdr:rowOff>298898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0626" y="5794376"/>
          <a:ext cx="2095500" cy="20927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11</xdr:row>
      <xdr:rowOff>1</xdr:rowOff>
    </xdr:from>
    <xdr:to>
      <xdr:col>6</xdr:col>
      <xdr:colOff>13607</xdr:colOff>
      <xdr:row>21</xdr:row>
      <xdr:rowOff>276226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600075</xdr:colOff>
      <xdr:row>11</xdr:row>
      <xdr:rowOff>0</xdr:rowOff>
    </xdr:from>
    <xdr:to>
      <xdr:col>11</xdr:col>
      <xdr:colOff>680357</xdr:colOff>
      <xdr:row>22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590550</xdr:colOff>
      <xdr:row>10</xdr:row>
      <xdr:rowOff>247650</xdr:rowOff>
    </xdr:from>
    <xdr:to>
      <xdr:col>18</xdr:col>
      <xdr:colOff>0</xdr:colOff>
      <xdr:row>22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32</xdr:row>
      <xdr:rowOff>200024</xdr:rowOff>
    </xdr:from>
    <xdr:to>
      <xdr:col>6</xdr:col>
      <xdr:colOff>0</xdr:colOff>
      <xdr:row>44</xdr:row>
      <xdr:rowOff>190499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9525</xdr:colOff>
      <xdr:row>33</xdr:row>
      <xdr:rowOff>19049</xdr:rowOff>
    </xdr:from>
    <xdr:to>
      <xdr:col>12</xdr:col>
      <xdr:colOff>0</xdr:colOff>
      <xdr:row>44</xdr:row>
      <xdr:rowOff>190499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</xdr:colOff>
      <xdr:row>33</xdr:row>
      <xdr:rowOff>28575</xdr:rowOff>
    </xdr:from>
    <xdr:to>
      <xdr:col>17</xdr:col>
      <xdr:colOff>533399</xdr:colOff>
      <xdr:row>45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56</xdr:row>
      <xdr:rowOff>19049</xdr:rowOff>
    </xdr:from>
    <xdr:to>
      <xdr:col>5</xdr:col>
      <xdr:colOff>600074</xdr:colOff>
      <xdr:row>65</xdr:row>
      <xdr:rowOff>180974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9525</xdr:colOff>
      <xdr:row>56</xdr:row>
      <xdr:rowOff>9525</xdr:rowOff>
    </xdr:from>
    <xdr:to>
      <xdr:col>11</xdr:col>
      <xdr:colOff>685800</xdr:colOff>
      <xdr:row>65</xdr:row>
      <xdr:rowOff>180975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55</xdr:row>
      <xdr:rowOff>190499</xdr:rowOff>
    </xdr:from>
    <xdr:to>
      <xdr:col>18</xdr:col>
      <xdr:colOff>0</xdr:colOff>
      <xdr:row>66</xdr:row>
      <xdr:rowOff>9524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76</xdr:row>
      <xdr:rowOff>190498</xdr:rowOff>
    </xdr:from>
    <xdr:to>
      <xdr:col>6</xdr:col>
      <xdr:colOff>1360</xdr:colOff>
      <xdr:row>91</xdr:row>
      <xdr:rowOff>13607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76</xdr:row>
      <xdr:rowOff>190497</xdr:rowOff>
    </xdr:from>
    <xdr:to>
      <xdr:col>12</xdr:col>
      <xdr:colOff>9525</xdr:colOff>
      <xdr:row>91</xdr:row>
      <xdr:rowOff>-1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9524</xdr:rowOff>
    </xdr:from>
    <xdr:to>
      <xdr:col>6</xdr:col>
      <xdr:colOff>0</xdr:colOff>
      <xdr:row>15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5</xdr:row>
      <xdr:rowOff>219074</xdr:rowOff>
    </xdr:from>
    <xdr:to>
      <xdr:col>12</xdr:col>
      <xdr:colOff>9525</xdr:colOff>
      <xdr:row>15</xdr:row>
      <xdr:rowOff>180974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38</xdr:row>
      <xdr:rowOff>259555</xdr:rowOff>
    </xdr:from>
    <xdr:to>
      <xdr:col>6</xdr:col>
      <xdr:colOff>0</xdr:colOff>
      <xdr:row>55</xdr:row>
      <xdr:rowOff>11906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19049</xdr:colOff>
      <xdr:row>6</xdr:row>
      <xdr:rowOff>0</xdr:rowOff>
    </xdr:from>
    <xdr:to>
      <xdr:col>18</xdr:col>
      <xdr:colOff>9525</xdr:colOff>
      <xdr:row>16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9525</xdr:colOff>
      <xdr:row>39</xdr:row>
      <xdr:rowOff>176213</xdr:rowOff>
    </xdr:from>
    <xdr:to>
      <xdr:col>14</xdr:col>
      <xdr:colOff>678655</xdr:colOff>
      <xdr:row>54</xdr:row>
      <xdr:rowOff>154782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600074</xdr:colOff>
      <xdr:row>21</xdr:row>
      <xdr:rowOff>9525</xdr:rowOff>
    </xdr:from>
    <xdr:to>
      <xdr:col>5</xdr:col>
      <xdr:colOff>762000</xdr:colOff>
      <xdr:row>33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600073</xdr:colOff>
      <xdr:row>21</xdr:row>
      <xdr:rowOff>9525</xdr:rowOff>
    </xdr:from>
    <xdr:to>
      <xdr:col>12</xdr:col>
      <xdr:colOff>66674</xdr:colOff>
      <xdr:row>32</xdr:row>
      <xdr:rowOff>180975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600075</xdr:colOff>
      <xdr:row>21</xdr:row>
      <xdr:rowOff>0</xdr:rowOff>
    </xdr:from>
    <xdr:to>
      <xdr:col>18</xdr:col>
      <xdr:colOff>0</xdr:colOff>
      <xdr:row>33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12</xdr:row>
      <xdr:rowOff>0</xdr:rowOff>
    </xdr:from>
    <xdr:to>
      <xdr:col>5</xdr:col>
      <xdr:colOff>561974</xdr:colOff>
      <xdr:row>20</xdr:row>
      <xdr:rowOff>190500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11</xdr:row>
      <xdr:rowOff>171448</xdr:rowOff>
    </xdr:from>
    <xdr:to>
      <xdr:col>12</xdr:col>
      <xdr:colOff>0</xdr:colOff>
      <xdr:row>20</xdr:row>
      <xdr:rowOff>180974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9525</xdr:rowOff>
    </xdr:from>
    <xdr:to>
      <xdr:col>6</xdr:col>
      <xdr:colOff>0</xdr:colOff>
      <xdr:row>24</xdr:row>
      <xdr:rowOff>180973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581023</xdr:colOff>
      <xdr:row>11</xdr:row>
      <xdr:rowOff>228600</xdr:rowOff>
    </xdr:from>
    <xdr:to>
      <xdr:col>12</xdr:col>
      <xdr:colOff>0</xdr:colOff>
      <xdr:row>24</xdr:row>
      <xdr:rowOff>190499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9524</xdr:colOff>
      <xdr:row>12</xdr:row>
      <xdr:rowOff>0</xdr:rowOff>
    </xdr:from>
    <xdr:to>
      <xdr:col>24</xdr:col>
      <xdr:colOff>9525</xdr:colOff>
      <xdr:row>24</xdr:row>
      <xdr:rowOff>180974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609598</xdr:colOff>
      <xdr:row>12</xdr:row>
      <xdr:rowOff>0</xdr:rowOff>
    </xdr:from>
    <xdr:to>
      <xdr:col>30</xdr:col>
      <xdr:colOff>9525</xdr:colOff>
      <xdr:row>24</xdr:row>
      <xdr:rowOff>180975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9526</xdr:colOff>
      <xdr:row>12</xdr:row>
      <xdr:rowOff>19050</xdr:rowOff>
    </xdr:from>
    <xdr:to>
      <xdr:col>18</xdr:col>
      <xdr:colOff>95250</xdr:colOff>
      <xdr:row>24</xdr:row>
      <xdr:rowOff>190499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180975</xdr:rowOff>
    </xdr:from>
    <xdr:to>
      <xdr:col>7</xdr:col>
      <xdr:colOff>0</xdr:colOff>
      <xdr:row>23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33</xdr:row>
      <xdr:rowOff>180975</xdr:rowOff>
    </xdr:from>
    <xdr:to>
      <xdr:col>7</xdr:col>
      <xdr:colOff>0</xdr:colOff>
      <xdr:row>45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11</xdr:row>
      <xdr:rowOff>9525</xdr:rowOff>
    </xdr:from>
    <xdr:to>
      <xdr:col>13</xdr:col>
      <xdr:colOff>66675</xdr:colOff>
      <xdr:row>22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9524</xdr:colOff>
      <xdr:row>33</xdr:row>
      <xdr:rowOff>171450</xdr:rowOff>
    </xdr:from>
    <xdr:to>
      <xdr:col>12</xdr:col>
      <xdr:colOff>609599</xdr:colOff>
      <xdr:row>46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</xdr:colOff>
      <xdr:row>11</xdr:row>
      <xdr:rowOff>19049</xdr:rowOff>
    </xdr:from>
    <xdr:to>
      <xdr:col>18</xdr:col>
      <xdr:colOff>790575</xdr:colOff>
      <xdr:row>22</xdr:row>
      <xdr:rowOff>180974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9525</xdr:colOff>
      <xdr:row>34</xdr:row>
      <xdr:rowOff>0</xdr:rowOff>
    </xdr:from>
    <xdr:to>
      <xdr:col>18</xdr:col>
      <xdr:colOff>790575</xdr:colOff>
      <xdr:row>46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609599</xdr:colOff>
      <xdr:row>11</xdr:row>
      <xdr:rowOff>9525</xdr:rowOff>
    </xdr:from>
    <xdr:to>
      <xdr:col>24</xdr:col>
      <xdr:colOff>561974</xdr:colOff>
      <xdr:row>22</xdr:row>
      <xdr:rowOff>180974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609599</xdr:colOff>
      <xdr:row>34</xdr:row>
      <xdr:rowOff>9525</xdr:rowOff>
    </xdr:from>
    <xdr:to>
      <xdr:col>24</xdr:col>
      <xdr:colOff>561974</xdr:colOff>
      <xdr:row>45</xdr:row>
      <xdr:rowOff>180975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7</xdr:col>
      <xdr:colOff>0</xdr:colOff>
      <xdr:row>69</xdr:row>
      <xdr:rowOff>190500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9525</xdr:colOff>
      <xdr:row>57</xdr:row>
      <xdr:rowOff>9525</xdr:rowOff>
    </xdr:from>
    <xdr:to>
      <xdr:col>13</xdr:col>
      <xdr:colOff>0</xdr:colOff>
      <xdr:row>70</xdr:row>
      <xdr:rowOff>161925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9525</xdr:rowOff>
    </xdr:from>
    <xdr:to>
      <xdr:col>6</xdr:col>
      <xdr:colOff>11905</xdr:colOff>
      <xdr:row>26</xdr:row>
      <xdr:rowOff>-1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11905</xdr:colOff>
      <xdr:row>11</xdr:row>
      <xdr:rowOff>21430</xdr:rowOff>
    </xdr:from>
    <xdr:to>
      <xdr:col>11</xdr:col>
      <xdr:colOff>881061</xdr:colOff>
      <xdr:row>26</xdr:row>
      <xdr:rowOff>11905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11906</xdr:colOff>
      <xdr:row>11</xdr:row>
      <xdr:rowOff>21431</xdr:rowOff>
    </xdr:from>
    <xdr:to>
      <xdr:col>18</xdr:col>
      <xdr:colOff>95250</xdr:colOff>
      <xdr:row>26</xdr:row>
      <xdr:rowOff>-1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36</xdr:row>
      <xdr:rowOff>188119</xdr:rowOff>
    </xdr:from>
    <xdr:to>
      <xdr:col>5</xdr:col>
      <xdr:colOff>833436</xdr:colOff>
      <xdr:row>51</xdr:row>
      <xdr:rowOff>73819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11905</xdr:colOff>
      <xdr:row>37</xdr:row>
      <xdr:rowOff>9525</xdr:rowOff>
    </xdr:from>
    <xdr:to>
      <xdr:col>12</xdr:col>
      <xdr:colOff>11905</xdr:colOff>
      <xdr:row>51</xdr:row>
      <xdr:rowOff>85725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C3:Q203" totalsRowShown="0" headerRowDxfId="1538" dataDxfId="1537">
  <tableColumns count="15">
    <tableColumn id="1" name="NUM" dataDxfId="1536"/>
    <tableColumn id="2" name="Day" dataDxfId="1535"/>
    <tableColumn id="3" name="Date " dataDxfId="1534"/>
    <tableColumn id="4" name="Month Num" dataDxfId="1533"/>
    <tableColumn id="5" name="Period" dataDxfId="1532"/>
    <tableColumn id="6" name="Time" dataDxfId="1531"/>
    <tableColumn id="7" name="Symbol" dataDxfId="1530"/>
    <tableColumn id="8" name="Setup" dataDxfId="1529"/>
    <tableColumn id="9" name="level" dataDxfId="1528"/>
    <tableColumn id="10" name="Correction" dataDxfId="1527"/>
    <tableColumn id="11" name="position" dataDxfId="1526"/>
    <tableColumn id="12" name="Risk/Reward" dataDxfId="1525"/>
    <tableColumn id="13" name="Close Reason" dataDxfId="1524"/>
    <tableColumn id="14" name="After Close " dataDxfId="1523"/>
    <tableColumn id="16" name="Balance Change " dataDxfId="1522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C3:M204" totalsRowShown="0" headerRowDxfId="1500">
  <tableColumns count="11">
    <tableColumn id="1" name="Num" dataDxfId="1499"/>
    <tableColumn id="2" name="Day" dataDxfId="1498"/>
    <tableColumn id="3" name="Date " dataDxfId="1497"/>
    <tableColumn id="9" name="Month Num" dataDxfId="1496"/>
    <tableColumn id="4" name="Time" dataDxfId="1495"/>
    <tableColumn id="5" name="Symbol" dataDxfId="1494"/>
    <tableColumn id="11" name="Setup" dataDxfId="1493"/>
    <tableColumn id="6" name="Risk/Reward" dataDxfId="1492"/>
    <tableColumn id="7" name="Close Reason" dataDxfId="1491"/>
    <tableColumn id="8" name="After Close" dataDxfId="1490"/>
    <tableColumn id="10" name="Balance Change" dataDxfId="1489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4:AH58"/>
  <sheetViews>
    <sheetView topLeftCell="A3" zoomScale="70" zoomScaleNormal="70" workbookViewId="0">
      <selection activeCell="R10" sqref="R10:S10"/>
    </sheetView>
  </sheetViews>
  <sheetFormatPr defaultRowHeight="15.75" x14ac:dyDescent="0.25"/>
  <cols>
    <col min="14" max="14" width="14.5703125" customWidth="1"/>
    <col min="22" max="22" width="9.140625" style="137"/>
    <col min="23" max="23" width="14.42578125" style="137" customWidth="1"/>
    <col min="24" max="24" width="21.42578125" customWidth="1"/>
    <col min="26" max="26" width="12.7109375" customWidth="1"/>
    <col min="34" max="34" width="11.85546875" customWidth="1"/>
  </cols>
  <sheetData>
    <row r="4" spans="14:34" ht="15" customHeight="1" x14ac:dyDescent="0.25"/>
    <row r="5" spans="14:34" ht="15" customHeight="1" x14ac:dyDescent="0.25">
      <c r="T5" s="68"/>
      <c r="U5" s="68"/>
      <c r="V5" s="154"/>
    </row>
    <row r="6" spans="14:34" ht="15" customHeight="1" x14ac:dyDescent="0.25">
      <c r="N6" s="209" t="s">
        <v>94</v>
      </c>
      <c r="O6" s="209"/>
      <c r="P6" s="209" t="s">
        <v>48</v>
      </c>
      <c r="Q6" s="209"/>
      <c r="R6" s="71"/>
      <c r="S6" s="71"/>
      <c r="T6" s="210" t="s">
        <v>95</v>
      </c>
      <c r="U6" s="210"/>
      <c r="V6" s="210"/>
      <c r="W6" s="210"/>
      <c r="X6" s="210"/>
      <c r="Y6" s="199" t="s">
        <v>99</v>
      </c>
      <c r="Z6" s="199"/>
      <c r="AA6" s="199"/>
      <c r="AB6" s="199"/>
      <c r="AC6" s="199"/>
      <c r="AD6" s="199"/>
      <c r="AE6" s="199"/>
      <c r="AF6" s="199"/>
      <c r="AG6" s="197" t="s">
        <v>98</v>
      </c>
      <c r="AH6" s="197"/>
    </row>
    <row r="7" spans="14:34" ht="15" customHeight="1" x14ac:dyDescent="0.25">
      <c r="N7" s="209"/>
      <c r="O7" s="209"/>
      <c r="P7" s="209"/>
      <c r="Q7" s="209"/>
      <c r="R7" s="71"/>
      <c r="S7" s="71"/>
      <c r="T7" s="211"/>
      <c r="U7" s="211"/>
      <c r="V7" s="211"/>
      <c r="W7" s="211"/>
      <c r="X7" s="211"/>
      <c r="Y7" s="199"/>
      <c r="Z7" s="199"/>
      <c r="AA7" s="199"/>
      <c r="AB7" s="199"/>
      <c r="AC7" s="199"/>
      <c r="AD7" s="199"/>
      <c r="AE7" s="199"/>
      <c r="AF7" s="199"/>
      <c r="AG7" s="197"/>
      <c r="AH7" s="197"/>
    </row>
    <row r="8" spans="14:34" ht="15" customHeight="1" x14ac:dyDescent="0.25">
      <c r="N8" s="212"/>
      <c r="O8" s="212"/>
      <c r="P8" s="213"/>
      <c r="Q8" s="213"/>
      <c r="R8" s="203" t="s">
        <v>101</v>
      </c>
      <c r="S8" s="204"/>
      <c r="T8" s="214" t="s">
        <v>100</v>
      </c>
      <c r="U8" s="214"/>
      <c r="V8" s="214" t="s">
        <v>97</v>
      </c>
      <c r="W8" s="214"/>
      <c r="X8" s="215" t="s">
        <v>96</v>
      </c>
      <c r="Y8" s="200"/>
      <c r="Z8" s="200"/>
      <c r="AA8" s="200"/>
      <c r="AB8" s="200"/>
      <c r="AC8" s="200"/>
      <c r="AD8" s="200"/>
      <c r="AE8" s="200"/>
      <c r="AF8" s="200"/>
      <c r="AG8" s="198"/>
      <c r="AH8" s="198"/>
    </row>
    <row r="9" spans="14:34" ht="19.5" customHeight="1" x14ac:dyDescent="0.25">
      <c r="N9" s="212"/>
      <c r="O9" s="212"/>
      <c r="P9" s="213"/>
      <c r="Q9" s="213"/>
      <c r="R9" s="205"/>
      <c r="S9" s="206"/>
      <c r="T9" s="214"/>
      <c r="U9" s="214"/>
      <c r="V9" s="214"/>
      <c r="W9" s="214"/>
      <c r="X9" s="216"/>
      <c r="Y9" s="201"/>
      <c r="Z9" s="201"/>
      <c r="AA9" s="201"/>
      <c r="AB9" s="201"/>
      <c r="AC9" s="201"/>
      <c r="AD9" s="201"/>
      <c r="AE9" s="201"/>
      <c r="AF9" s="201"/>
      <c r="AG9" s="198"/>
      <c r="AH9" s="198"/>
    </row>
    <row r="10" spans="14:34" ht="24.75" customHeight="1" x14ac:dyDescent="0.25">
      <c r="N10" s="217" t="s">
        <v>49</v>
      </c>
      <c r="O10" s="217"/>
      <c r="P10" s="218"/>
      <c r="Q10" s="218"/>
      <c r="R10" s="207"/>
      <c r="S10" s="208"/>
      <c r="T10" s="219"/>
      <c r="U10" s="219"/>
      <c r="V10" s="219"/>
      <c r="W10" s="219"/>
      <c r="X10" s="73"/>
      <c r="Y10" s="202"/>
      <c r="Z10" s="202"/>
      <c r="AA10" s="202"/>
      <c r="AB10" s="202"/>
      <c r="AC10" s="202"/>
      <c r="AD10" s="202"/>
      <c r="AE10" s="202"/>
      <c r="AF10" s="202"/>
      <c r="AG10" s="198"/>
      <c r="AH10" s="198"/>
    </row>
    <row r="11" spans="14:34" ht="15" customHeight="1" x14ac:dyDescent="0.25"/>
    <row r="12" spans="14:34" ht="15" customHeight="1" x14ac:dyDescent="0.25">
      <c r="N12" s="209" t="s">
        <v>102</v>
      </c>
      <c r="O12" s="209"/>
      <c r="P12" s="209" t="s">
        <v>48</v>
      </c>
      <c r="Q12" s="209"/>
      <c r="R12" s="71"/>
      <c r="S12" s="71"/>
      <c r="T12" s="210" t="s">
        <v>95</v>
      </c>
      <c r="U12" s="210"/>
      <c r="V12" s="210"/>
      <c r="W12" s="210"/>
      <c r="X12" s="210"/>
      <c r="Y12" s="199" t="s">
        <v>99</v>
      </c>
      <c r="Z12" s="199"/>
      <c r="AA12" s="199"/>
      <c r="AB12" s="199"/>
      <c r="AC12" s="199"/>
      <c r="AD12" s="199"/>
      <c r="AE12" s="199"/>
      <c r="AF12" s="199"/>
      <c r="AG12" s="197" t="s">
        <v>98</v>
      </c>
      <c r="AH12" s="197"/>
    </row>
    <row r="13" spans="14:34" ht="15" customHeight="1" x14ac:dyDescent="0.25">
      <c r="N13" s="209"/>
      <c r="O13" s="209"/>
      <c r="P13" s="209"/>
      <c r="Q13" s="209"/>
      <c r="R13" s="71"/>
      <c r="S13" s="71"/>
      <c r="T13" s="211"/>
      <c r="U13" s="211"/>
      <c r="V13" s="211"/>
      <c r="W13" s="211"/>
      <c r="X13" s="211"/>
      <c r="Y13" s="199"/>
      <c r="Z13" s="199"/>
      <c r="AA13" s="199"/>
      <c r="AB13" s="199"/>
      <c r="AC13" s="199"/>
      <c r="AD13" s="199"/>
      <c r="AE13" s="199"/>
      <c r="AF13" s="199"/>
      <c r="AG13" s="197"/>
      <c r="AH13" s="197"/>
    </row>
    <row r="14" spans="14:34" ht="15" customHeight="1" x14ac:dyDescent="0.25">
      <c r="N14" s="212"/>
      <c r="O14" s="212"/>
      <c r="P14" s="213"/>
      <c r="Q14" s="213"/>
      <c r="R14" s="203" t="s">
        <v>101</v>
      </c>
      <c r="S14" s="204"/>
      <c r="T14" s="214" t="s">
        <v>100</v>
      </c>
      <c r="U14" s="214"/>
      <c r="V14" s="214" t="s">
        <v>97</v>
      </c>
      <c r="W14" s="214"/>
      <c r="X14" s="215" t="s">
        <v>96</v>
      </c>
      <c r="Y14" s="200"/>
      <c r="Z14" s="200"/>
      <c r="AA14" s="200"/>
      <c r="AB14" s="200"/>
      <c r="AC14" s="200"/>
      <c r="AD14" s="200"/>
      <c r="AE14" s="200"/>
      <c r="AF14" s="200"/>
      <c r="AG14" s="220"/>
      <c r="AH14" s="221"/>
    </row>
    <row r="15" spans="14:34" ht="15" customHeight="1" x14ac:dyDescent="0.25">
      <c r="N15" s="212"/>
      <c r="O15" s="212"/>
      <c r="P15" s="213"/>
      <c r="Q15" s="213"/>
      <c r="R15" s="205"/>
      <c r="S15" s="206"/>
      <c r="T15" s="214"/>
      <c r="U15" s="214"/>
      <c r="V15" s="214"/>
      <c r="W15" s="214"/>
      <c r="X15" s="216"/>
      <c r="Y15" s="201"/>
      <c r="Z15" s="201"/>
      <c r="AA15" s="201"/>
      <c r="AB15" s="201"/>
      <c r="AC15" s="201"/>
      <c r="AD15" s="201"/>
      <c r="AE15" s="201"/>
      <c r="AF15" s="201"/>
      <c r="AG15" s="222"/>
      <c r="AH15" s="223"/>
    </row>
    <row r="16" spans="14:34" ht="21" customHeight="1" x14ac:dyDescent="0.25">
      <c r="N16" s="217" t="s">
        <v>49</v>
      </c>
      <c r="O16" s="217"/>
      <c r="P16" s="218"/>
      <c r="Q16" s="218"/>
      <c r="R16" s="207"/>
      <c r="S16" s="208"/>
      <c r="T16" s="219"/>
      <c r="U16" s="219"/>
      <c r="V16" s="219"/>
      <c r="W16" s="219"/>
      <c r="X16" s="73"/>
      <c r="Y16" s="202"/>
      <c r="Z16" s="202"/>
      <c r="AA16" s="202"/>
      <c r="AB16" s="202"/>
      <c r="AC16" s="202"/>
      <c r="AD16" s="202"/>
      <c r="AE16" s="202"/>
      <c r="AF16" s="202"/>
      <c r="AG16" s="224"/>
      <c r="AH16" s="225"/>
    </row>
    <row r="17" spans="13:34" ht="15" customHeight="1" x14ac:dyDescent="0.25"/>
    <row r="18" spans="13:34" ht="15" customHeight="1" x14ac:dyDescent="0.25">
      <c r="N18" s="209" t="s">
        <v>103</v>
      </c>
      <c r="O18" s="209"/>
      <c r="P18" s="209" t="s">
        <v>48</v>
      </c>
      <c r="Q18" s="209"/>
      <c r="R18" s="71"/>
      <c r="S18" s="71"/>
      <c r="T18" s="210" t="s">
        <v>95</v>
      </c>
      <c r="U18" s="210"/>
      <c r="V18" s="210"/>
      <c r="W18" s="210"/>
      <c r="X18" s="210"/>
      <c r="Y18" s="199" t="s">
        <v>99</v>
      </c>
      <c r="Z18" s="199"/>
      <c r="AA18" s="199"/>
      <c r="AB18" s="199"/>
      <c r="AC18" s="199"/>
      <c r="AD18" s="199"/>
      <c r="AE18" s="199"/>
      <c r="AF18" s="199"/>
      <c r="AG18" s="197" t="s">
        <v>98</v>
      </c>
      <c r="AH18" s="197"/>
    </row>
    <row r="19" spans="13:34" ht="20.25" customHeight="1" x14ac:dyDescent="0.25">
      <c r="N19" s="209"/>
      <c r="O19" s="209"/>
      <c r="P19" s="209"/>
      <c r="Q19" s="209"/>
      <c r="R19" s="71"/>
      <c r="S19" s="71"/>
      <c r="T19" s="211"/>
      <c r="U19" s="211"/>
      <c r="V19" s="211"/>
      <c r="W19" s="211"/>
      <c r="X19" s="211"/>
      <c r="Y19" s="199"/>
      <c r="Z19" s="199"/>
      <c r="AA19" s="199"/>
      <c r="AB19" s="199"/>
      <c r="AC19" s="199"/>
      <c r="AD19" s="199"/>
      <c r="AE19" s="199"/>
      <c r="AF19" s="199"/>
      <c r="AG19" s="197"/>
      <c r="AH19" s="197"/>
    </row>
    <row r="20" spans="13:34" s="68" customFormat="1" ht="18.75" customHeight="1" x14ac:dyDescent="0.25">
      <c r="M20"/>
      <c r="N20" s="212"/>
      <c r="O20" s="212"/>
      <c r="P20" s="213">
        <v>0</v>
      </c>
      <c r="Q20" s="213"/>
      <c r="R20" s="203" t="s">
        <v>101</v>
      </c>
      <c r="S20" s="204"/>
      <c r="T20" s="214" t="s">
        <v>100</v>
      </c>
      <c r="U20" s="214"/>
      <c r="V20" s="214" t="s">
        <v>97</v>
      </c>
      <c r="W20" s="214"/>
      <c r="X20" s="215" t="s">
        <v>96</v>
      </c>
      <c r="Y20" s="200"/>
      <c r="Z20" s="200"/>
      <c r="AA20" s="200"/>
      <c r="AB20" s="200"/>
      <c r="AC20" s="200"/>
      <c r="AD20" s="200"/>
      <c r="AE20" s="200"/>
      <c r="AF20" s="200"/>
      <c r="AG20" s="220"/>
      <c r="AH20" s="221"/>
    </row>
    <row r="21" spans="13:34" ht="15" customHeight="1" x14ac:dyDescent="0.25">
      <c r="N21" s="212"/>
      <c r="O21" s="212"/>
      <c r="P21" s="213"/>
      <c r="Q21" s="213"/>
      <c r="R21" s="205"/>
      <c r="S21" s="206"/>
      <c r="T21" s="214"/>
      <c r="U21" s="214"/>
      <c r="V21" s="214"/>
      <c r="W21" s="214"/>
      <c r="X21" s="216"/>
      <c r="Y21" s="201"/>
      <c r="Z21" s="201"/>
      <c r="AA21" s="201"/>
      <c r="AB21" s="201"/>
      <c r="AC21" s="201"/>
      <c r="AD21" s="201"/>
      <c r="AE21" s="201"/>
      <c r="AF21" s="201"/>
      <c r="AG21" s="222"/>
      <c r="AH21" s="223"/>
    </row>
    <row r="22" spans="13:34" ht="22.5" customHeight="1" x14ac:dyDescent="0.25">
      <c r="N22" s="217" t="s">
        <v>49</v>
      </c>
      <c r="O22" s="217"/>
      <c r="P22" s="218"/>
      <c r="Q22" s="218"/>
      <c r="R22" s="207"/>
      <c r="S22" s="208"/>
      <c r="T22" s="219"/>
      <c r="U22" s="219"/>
      <c r="V22" s="219"/>
      <c r="W22" s="219"/>
      <c r="X22" s="73"/>
      <c r="Y22" s="202"/>
      <c r="Z22" s="202"/>
      <c r="AA22" s="202"/>
      <c r="AB22" s="202"/>
      <c r="AC22" s="202"/>
      <c r="AD22" s="202"/>
      <c r="AE22" s="202"/>
      <c r="AF22" s="202"/>
      <c r="AG22" s="224"/>
      <c r="AH22" s="225"/>
    </row>
    <row r="23" spans="13:34" ht="15" customHeight="1" x14ac:dyDescent="0.25"/>
    <row r="24" spans="13:34" ht="25.5" customHeight="1" x14ac:dyDescent="0.25">
      <c r="N24" s="209" t="s">
        <v>104</v>
      </c>
      <c r="O24" s="209"/>
      <c r="P24" s="209" t="s">
        <v>48</v>
      </c>
      <c r="Q24" s="209"/>
      <c r="R24" s="71"/>
      <c r="S24" s="71"/>
      <c r="T24" s="210" t="s">
        <v>95</v>
      </c>
      <c r="U24" s="210"/>
      <c r="V24" s="210"/>
      <c r="W24" s="210"/>
      <c r="X24" s="210"/>
      <c r="Y24" s="199" t="s">
        <v>99</v>
      </c>
      <c r="Z24" s="199"/>
      <c r="AA24" s="199"/>
      <c r="AB24" s="199"/>
      <c r="AC24" s="199"/>
      <c r="AD24" s="199"/>
      <c r="AE24" s="199"/>
      <c r="AF24" s="199"/>
      <c r="AG24" s="197" t="s">
        <v>98</v>
      </c>
      <c r="AH24" s="197"/>
    </row>
    <row r="25" spans="13:34" ht="14.25" customHeight="1" x14ac:dyDescent="0.25">
      <c r="N25" s="209"/>
      <c r="O25" s="209"/>
      <c r="P25" s="209"/>
      <c r="Q25" s="209"/>
      <c r="R25" s="71"/>
      <c r="S25" s="71"/>
      <c r="T25" s="211"/>
      <c r="U25" s="211"/>
      <c r="V25" s="211"/>
      <c r="W25" s="211"/>
      <c r="X25" s="211"/>
      <c r="Y25" s="199"/>
      <c r="Z25" s="199"/>
      <c r="AA25" s="199"/>
      <c r="AB25" s="199"/>
      <c r="AC25" s="199"/>
      <c r="AD25" s="199"/>
      <c r="AE25" s="199"/>
      <c r="AF25" s="199"/>
      <c r="AG25" s="197"/>
      <c r="AH25" s="197"/>
    </row>
    <row r="26" spans="13:34" ht="15" x14ac:dyDescent="0.25">
      <c r="N26" s="212"/>
      <c r="O26" s="212"/>
      <c r="P26" s="213">
        <v>0</v>
      </c>
      <c r="Q26" s="213"/>
      <c r="R26" s="203" t="s">
        <v>101</v>
      </c>
      <c r="S26" s="204"/>
      <c r="T26" s="214" t="s">
        <v>100</v>
      </c>
      <c r="U26" s="214"/>
      <c r="V26" s="214" t="s">
        <v>97</v>
      </c>
      <c r="W26" s="214"/>
      <c r="X26" s="215" t="s">
        <v>96</v>
      </c>
      <c r="Y26" s="200"/>
      <c r="Z26" s="200"/>
      <c r="AA26" s="200"/>
      <c r="AB26" s="200"/>
      <c r="AC26" s="200"/>
      <c r="AD26" s="200"/>
      <c r="AE26" s="200"/>
      <c r="AF26" s="200"/>
      <c r="AG26" s="198"/>
      <c r="AH26" s="198"/>
    </row>
    <row r="27" spans="13:34" ht="15" x14ac:dyDescent="0.25">
      <c r="N27" s="212"/>
      <c r="O27" s="212"/>
      <c r="P27" s="213"/>
      <c r="Q27" s="213"/>
      <c r="R27" s="205"/>
      <c r="S27" s="206"/>
      <c r="T27" s="214"/>
      <c r="U27" s="214"/>
      <c r="V27" s="214"/>
      <c r="W27" s="214"/>
      <c r="X27" s="216"/>
      <c r="Y27" s="201"/>
      <c r="Z27" s="201"/>
      <c r="AA27" s="201"/>
      <c r="AB27" s="201"/>
      <c r="AC27" s="201"/>
      <c r="AD27" s="201"/>
      <c r="AE27" s="201"/>
      <c r="AF27" s="201"/>
      <c r="AG27" s="198"/>
      <c r="AH27" s="198"/>
    </row>
    <row r="28" spans="13:34" ht="20.25" customHeight="1" x14ac:dyDescent="0.25">
      <c r="N28" s="217" t="s">
        <v>49</v>
      </c>
      <c r="O28" s="217"/>
      <c r="P28" s="218"/>
      <c r="Q28" s="218"/>
      <c r="R28" s="207"/>
      <c r="S28" s="208"/>
      <c r="T28" s="219"/>
      <c r="U28" s="219"/>
      <c r="V28" s="219"/>
      <c r="W28" s="219"/>
      <c r="X28" s="73"/>
      <c r="Y28" s="202"/>
      <c r="Z28" s="202"/>
      <c r="AA28" s="202"/>
      <c r="AB28" s="202"/>
      <c r="AC28" s="202"/>
      <c r="AD28" s="202"/>
      <c r="AE28" s="202"/>
      <c r="AF28" s="202"/>
      <c r="AG28" s="198"/>
      <c r="AH28" s="198"/>
    </row>
    <row r="29" spans="13:34" ht="15" customHeight="1" x14ac:dyDescent="0.25"/>
    <row r="30" spans="13:34" ht="15" customHeight="1" x14ac:dyDescent="0.25">
      <c r="N30" s="209" t="s">
        <v>105</v>
      </c>
      <c r="O30" s="209"/>
      <c r="P30" s="209" t="s">
        <v>48</v>
      </c>
      <c r="Q30" s="209"/>
      <c r="R30" s="71"/>
      <c r="S30" s="71"/>
      <c r="T30" s="210" t="s">
        <v>95</v>
      </c>
      <c r="U30" s="210"/>
      <c r="V30" s="210"/>
      <c r="W30" s="210"/>
      <c r="X30" s="210"/>
      <c r="Y30" s="199" t="s">
        <v>99</v>
      </c>
      <c r="Z30" s="199"/>
      <c r="AA30" s="199"/>
      <c r="AB30" s="199"/>
      <c r="AC30" s="199"/>
      <c r="AD30" s="199"/>
      <c r="AE30" s="199"/>
      <c r="AF30" s="199"/>
      <c r="AG30" s="197" t="s">
        <v>98</v>
      </c>
      <c r="AH30" s="197"/>
    </row>
    <row r="31" spans="13:34" ht="15" customHeight="1" x14ac:dyDescent="0.25">
      <c r="N31" s="209"/>
      <c r="O31" s="209"/>
      <c r="P31" s="209"/>
      <c r="Q31" s="209"/>
      <c r="R31" s="71"/>
      <c r="S31" s="71"/>
      <c r="T31" s="211"/>
      <c r="U31" s="211"/>
      <c r="V31" s="211"/>
      <c r="W31" s="211"/>
      <c r="X31" s="211"/>
      <c r="Y31" s="199"/>
      <c r="Z31" s="199"/>
      <c r="AA31" s="199"/>
      <c r="AB31" s="199"/>
      <c r="AC31" s="199"/>
      <c r="AD31" s="199"/>
      <c r="AE31" s="199"/>
      <c r="AF31" s="199"/>
      <c r="AG31" s="197"/>
      <c r="AH31" s="197"/>
    </row>
    <row r="32" spans="13:34" ht="20.25" customHeight="1" x14ac:dyDescent="0.25">
      <c r="N32" s="212"/>
      <c r="O32" s="212"/>
      <c r="P32" s="213">
        <v>0</v>
      </c>
      <c r="Q32" s="213"/>
      <c r="R32" s="203" t="s">
        <v>101</v>
      </c>
      <c r="S32" s="204"/>
      <c r="T32" s="214" t="s">
        <v>100</v>
      </c>
      <c r="U32" s="214"/>
      <c r="V32" s="214" t="s">
        <v>97</v>
      </c>
      <c r="W32" s="214"/>
      <c r="X32" s="215" t="s">
        <v>96</v>
      </c>
      <c r="Y32" s="200"/>
      <c r="Z32" s="200"/>
      <c r="AA32" s="200"/>
      <c r="AB32" s="200"/>
      <c r="AC32" s="200"/>
      <c r="AD32" s="200"/>
      <c r="AE32" s="200"/>
      <c r="AF32" s="200"/>
      <c r="AG32" s="198"/>
      <c r="AH32" s="198"/>
    </row>
    <row r="33" spans="14:34" ht="15" x14ac:dyDescent="0.25">
      <c r="N33" s="212"/>
      <c r="O33" s="212"/>
      <c r="P33" s="213"/>
      <c r="Q33" s="213"/>
      <c r="R33" s="205"/>
      <c r="S33" s="206"/>
      <c r="T33" s="214"/>
      <c r="U33" s="214"/>
      <c r="V33" s="214"/>
      <c r="W33" s="214"/>
      <c r="X33" s="216"/>
      <c r="Y33" s="201"/>
      <c r="Z33" s="201"/>
      <c r="AA33" s="201"/>
      <c r="AB33" s="201"/>
      <c r="AC33" s="201"/>
      <c r="AD33" s="201"/>
      <c r="AE33" s="201"/>
      <c r="AF33" s="201"/>
      <c r="AG33" s="198"/>
      <c r="AH33" s="198"/>
    </row>
    <row r="34" spans="14:34" ht="23.25" x14ac:dyDescent="0.25">
      <c r="N34" s="217" t="s">
        <v>49</v>
      </c>
      <c r="O34" s="217"/>
      <c r="P34" s="218"/>
      <c r="Q34" s="218"/>
      <c r="R34" s="207"/>
      <c r="S34" s="208"/>
      <c r="T34" s="219"/>
      <c r="U34" s="219"/>
      <c r="V34" s="219"/>
      <c r="W34" s="219"/>
      <c r="X34" s="73"/>
      <c r="Y34" s="202"/>
      <c r="Z34" s="202"/>
      <c r="AA34" s="202"/>
      <c r="AB34" s="202"/>
      <c r="AC34" s="202"/>
      <c r="AD34" s="202"/>
      <c r="AE34" s="202"/>
      <c r="AF34" s="202"/>
      <c r="AG34" s="198"/>
      <c r="AH34" s="198"/>
    </row>
    <row r="36" spans="14:34" ht="20.25" x14ac:dyDescent="0.25">
      <c r="N36" s="209" t="s">
        <v>109</v>
      </c>
      <c r="O36" s="209"/>
      <c r="P36" s="209" t="s">
        <v>48</v>
      </c>
      <c r="Q36" s="209"/>
      <c r="R36" s="71"/>
      <c r="S36" s="71"/>
      <c r="T36" s="210" t="s">
        <v>95</v>
      </c>
      <c r="U36" s="210"/>
      <c r="V36" s="210"/>
      <c r="W36" s="210"/>
      <c r="X36" s="210"/>
      <c r="Y36" s="199" t="s">
        <v>99</v>
      </c>
      <c r="Z36" s="199"/>
      <c r="AA36" s="199"/>
      <c r="AB36" s="199"/>
      <c r="AC36" s="199"/>
      <c r="AD36" s="199"/>
      <c r="AE36" s="199"/>
      <c r="AF36" s="199"/>
      <c r="AG36" s="226" t="s">
        <v>98</v>
      </c>
      <c r="AH36" s="226"/>
    </row>
    <row r="37" spans="14:34" ht="9" customHeight="1" x14ac:dyDescent="0.25">
      <c r="N37" s="209"/>
      <c r="O37" s="209"/>
      <c r="P37" s="209"/>
      <c r="Q37" s="209"/>
      <c r="R37" s="71"/>
      <c r="S37" s="71"/>
      <c r="T37" s="211"/>
      <c r="U37" s="211"/>
      <c r="V37" s="211"/>
      <c r="W37" s="211"/>
      <c r="X37" s="211"/>
      <c r="Y37" s="199"/>
      <c r="Z37" s="199"/>
      <c r="AA37" s="199"/>
      <c r="AB37" s="199"/>
      <c r="AC37" s="199"/>
      <c r="AD37" s="199"/>
      <c r="AE37" s="199"/>
      <c r="AF37" s="199"/>
      <c r="AG37" s="226"/>
      <c r="AH37" s="226"/>
    </row>
    <row r="38" spans="14:34" ht="15" x14ac:dyDescent="0.25">
      <c r="N38" s="212"/>
      <c r="O38" s="212"/>
      <c r="P38" s="213">
        <v>0</v>
      </c>
      <c r="Q38" s="213"/>
      <c r="R38" s="203" t="s">
        <v>101</v>
      </c>
      <c r="S38" s="204"/>
      <c r="T38" s="214" t="s">
        <v>100</v>
      </c>
      <c r="U38" s="214"/>
      <c r="V38" s="214" t="s">
        <v>97</v>
      </c>
      <c r="W38" s="214"/>
      <c r="X38" s="215" t="s">
        <v>96</v>
      </c>
      <c r="Y38" s="200"/>
      <c r="Z38" s="200"/>
      <c r="AA38" s="200"/>
      <c r="AB38" s="200"/>
      <c r="AC38" s="200"/>
      <c r="AD38" s="200"/>
      <c r="AE38" s="200"/>
      <c r="AF38" s="200"/>
      <c r="AG38" s="198"/>
      <c r="AH38" s="198"/>
    </row>
    <row r="39" spans="14:34" ht="15" x14ac:dyDescent="0.25">
      <c r="N39" s="212"/>
      <c r="O39" s="212"/>
      <c r="P39" s="213"/>
      <c r="Q39" s="213"/>
      <c r="R39" s="205"/>
      <c r="S39" s="206"/>
      <c r="T39" s="214"/>
      <c r="U39" s="214"/>
      <c r="V39" s="214"/>
      <c r="W39" s="214"/>
      <c r="X39" s="216"/>
      <c r="Y39" s="201"/>
      <c r="Z39" s="201"/>
      <c r="AA39" s="201"/>
      <c r="AB39" s="201"/>
      <c r="AC39" s="201"/>
      <c r="AD39" s="201"/>
      <c r="AE39" s="201"/>
      <c r="AF39" s="201"/>
      <c r="AG39" s="198"/>
      <c r="AH39" s="198"/>
    </row>
    <row r="40" spans="14:34" ht="23.25" x14ac:dyDescent="0.25">
      <c r="N40" s="217" t="s">
        <v>49</v>
      </c>
      <c r="O40" s="217"/>
      <c r="P40" s="218"/>
      <c r="Q40" s="218"/>
      <c r="R40" s="207"/>
      <c r="S40" s="208"/>
      <c r="T40" s="219"/>
      <c r="U40" s="219"/>
      <c r="V40" s="219"/>
      <c r="W40" s="219"/>
      <c r="X40" s="73"/>
      <c r="Y40" s="202"/>
      <c r="Z40" s="202"/>
      <c r="AA40" s="202"/>
      <c r="AB40" s="202"/>
      <c r="AC40" s="202"/>
      <c r="AD40" s="202"/>
      <c r="AE40" s="202"/>
      <c r="AF40" s="202"/>
      <c r="AG40" s="198"/>
      <c r="AH40" s="198"/>
    </row>
    <row r="42" spans="14:34" ht="20.25" x14ac:dyDescent="0.25">
      <c r="N42" s="209" t="s">
        <v>108</v>
      </c>
      <c r="O42" s="209"/>
      <c r="P42" s="209" t="s">
        <v>48</v>
      </c>
      <c r="Q42" s="209"/>
      <c r="R42" s="71"/>
      <c r="S42" s="71"/>
      <c r="T42" s="210" t="s">
        <v>95</v>
      </c>
      <c r="U42" s="210"/>
      <c r="V42" s="210"/>
      <c r="W42" s="210"/>
      <c r="X42" s="210"/>
      <c r="Y42" s="199" t="s">
        <v>99</v>
      </c>
      <c r="Z42" s="199"/>
      <c r="AA42" s="199"/>
      <c r="AB42" s="199"/>
      <c r="AC42" s="199"/>
      <c r="AD42" s="199"/>
      <c r="AE42" s="199"/>
      <c r="AF42" s="199"/>
      <c r="AG42" s="197" t="s">
        <v>98</v>
      </c>
      <c r="AH42" s="197"/>
    </row>
    <row r="43" spans="14:34" ht="12.75" customHeight="1" x14ac:dyDescent="0.25">
      <c r="N43" s="209"/>
      <c r="O43" s="209"/>
      <c r="P43" s="209"/>
      <c r="Q43" s="209"/>
      <c r="R43" s="71"/>
      <c r="S43" s="71"/>
      <c r="T43" s="211"/>
      <c r="U43" s="211"/>
      <c r="V43" s="211"/>
      <c r="W43" s="211"/>
      <c r="X43" s="211"/>
      <c r="Y43" s="199"/>
      <c r="Z43" s="199"/>
      <c r="AA43" s="199"/>
      <c r="AB43" s="199"/>
      <c r="AC43" s="199"/>
      <c r="AD43" s="199"/>
      <c r="AE43" s="199"/>
      <c r="AF43" s="199"/>
      <c r="AG43" s="197"/>
      <c r="AH43" s="197"/>
    </row>
    <row r="44" spans="14:34" ht="15" x14ac:dyDescent="0.25">
      <c r="N44" s="212"/>
      <c r="O44" s="212"/>
      <c r="P44" s="213">
        <v>0</v>
      </c>
      <c r="Q44" s="213"/>
      <c r="R44" s="203" t="s">
        <v>101</v>
      </c>
      <c r="S44" s="204"/>
      <c r="T44" s="214" t="s">
        <v>100</v>
      </c>
      <c r="U44" s="214"/>
      <c r="V44" s="214" t="s">
        <v>97</v>
      </c>
      <c r="W44" s="214"/>
      <c r="X44" s="215" t="s">
        <v>96</v>
      </c>
      <c r="Y44" s="200"/>
      <c r="Z44" s="200"/>
      <c r="AA44" s="200"/>
      <c r="AB44" s="200"/>
      <c r="AC44" s="200"/>
      <c r="AD44" s="200"/>
      <c r="AE44" s="200"/>
      <c r="AF44" s="200"/>
      <c r="AG44" s="198"/>
      <c r="AH44" s="198"/>
    </row>
    <row r="45" spans="14:34" ht="15" x14ac:dyDescent="0.25">
      <c r="N45" s="212"/>
      <c r="O45" s="212"/>
      <c r="P45" s="213"/>
      <c r="Q45" s="213"/>
      <c r="R45" s="205"/>
      <c r="S45" s="206"/>
      <c r="T45" s="214"/>
      <c r="U45" s="214"/>
      <c r="V45" s="214"/>
      <c r="W45" s="214"/>
      <c r="X45" s="216"/>
      <c r="Y45" s="201"/>
      <c r="Z45" s="201"/>
      <c r="AA45" s="201"/>
      <c r="AB45" s="201"/>
      <c r="AC45" s="201"/>
      <c r="AD45" s="201"/>
      <c r="AE45" s="201"/>
      <c r="AF45" s="201"/>
      <c r="AG45" s="198"/>
      <c r="AH45" s="198"/>
    </row>
    <row r="46" spans="14:34" ht="23.25" x14ac:dyDescent="0.25">
      <c r="N46" s="217" t="s">
        <v>49</v>
      </c>
      <c r="O46" s="217"/>
      <c r="P46" s="218"/>
      <c r="Q46" s="218"/>
      <c r="R46" s="207"/>
      <c r="S46" s="208"/>
      <c r="T46" s="219"/>
      <c r="U46" s="219"/>
      <c r="V46" s="219"/>
      <c r="W46" s="219"/>
      <c r="X46" s="73"/>
      <c r="Y46" s="202"/>
      <c r="Z46" s="202"/>
      <c r="AA46" s="202"/>
      <c r="AB46" s="202"/>
      <c r="AC46" s="202"/>
      <c r="AD46" s="202"/>
      <c r="AE46" s="202"/>
      <c r="AF46" s="202"/>
      <c r="AG46" s="198"/>
      <c r="AH46" s="198"/>
    </row>
    <row r="48" spans="14:34" ht="20.25" x14ac:dyDescent="0.25">
      <c r="N48" s="209" t="s">
        <v>107</v>
      </c>
      <c r="O48" s="209"/>
      <c r="P48" s="209" t="s">
        <v>48</v>
      </c>
      <c r="Q48" s="209"/>
      <c r="R48" s="71"/>
      <c r="S48" s="71"/>
      <c r="T48" s="210" t="s">
        <v>95</v>
      </c>
      <c r="U48" s="210"/>
      <c r="V48" s="210"/>
      <c r="W48" s="210"/>
      <c r="X48" s="210"/>
      <c r="Y48" s="199" t="s">
        <v>99</v>
      </c>
      <c r="Z48" s="199"/>
      <c r="AA48" s="199"/>
      <c r="AB48" s="199"/>
      <c r="AC48" s="199"/>
      <c r="AD48" s="199"/>
      <c r="AE48" s="199"/>
      <c r="AF48" s="199"/>
      <c r="AG48" s="197" t="s">
        <v>98</v>
      </c>
      <c r="AH48" s="197"/>
    </row>
    <row r="49" spans="14:34" ht="7.5" customHeight="1" x14ac:dyDescent="0.25">
      <c r="N49" s="209"/>
      <c r="O49" s="209"/>
      <c r="P49" s="209"/>
      <c r="Q49" s="209"/>
      <c r="R49" s="71"/>
      <c r="S49" s="71"/>
      <c r="T49" s="211"/>
      <c r="U49" s="211"/>
      <c r="V49" s="211"/>
      <c r="W49" s="211"/>
      <c r="X49" s="211"/>
      <c r="Y49" s="199"/>
      <c r="Z49" s="199"/>
      <c r="AA49" s="199"/>
      <c r="AB49" s="199"/>
      <c r="AC49" s="199"/>
      <c r="AD49" s="199"/>
      <c r="AE49" s="199"/>
      <c r="AF49" s="199"/>
      <c r="AG49" s="197"/>
      <c r="AH49" s="197"/>
    </row>
    <row r="50" spans="14:34" ht="15" x14ac:dyDescent="0.25">
      <c r="N50" s="212"/>
      <c r="O50" s="212"/>
      <c r="P50" s="213">
        <v>0</v>
      </c>
      <c r="Q50" s="213"/>
      <c r="R50" s="203" t="s">
        <v>101</v>
      </c>
      <c r="S50" s="204"/>
      <c r="T50" s="214" t="s">
        <v>100</v>
      </c>
      <c r="U50" s="214"/>
      <c r="V50" s="214" t="s">
        <v>97</v>
      </c>
      <c r="W50" s="214"/>
      <c r="X50" s="215" t="s">
        <v>96</v>
      </c>
      <c r="Y50" s="200"/>
      <c r="Z50" s="200"/>
      <c r="AA50" s="200"/>
      <c r="AB50" s="200"/>
      <c r="AC50" s="200"/>
      <c r="AD50" s="200"/>
      <c r="AE50" s="200"/>
      <c r="AF50" s="200"/>
      <c r="AG50" s="198"/>
      <c r="AH50" s="198"/>
    </row>
    <row r="51" spans="14:34" ht="15" x14ac:dyDescent="0.25">
      <c r="N51" s="212"/>
      <c r="O51" s="212"/>
      <c r="P51" s="213"/>
      <c r="Q51" s="213"/>
      <c r="R51" s="205"/>
      <c r="S51" s="206"/>
      <c r="T51" s="214"/>
      <c r="U51" s="214"/>
      <c r="V51" s="214"/>
      <c r="W51" s="214"/>
      <c r="X51" s="216"/>
      <c r="Y51" s="201"/>
      <c r="Z51" s="201"/>
      <c r="AA51" s="201"/>
      <c r="AB51" s="201"/>
      <c r="AC51" s="201"/>
      <c r="AD51" s="201"/>
      <c r="AE51" s="201"/>
      <c r="AF51" s="201"/>
      <c r="AG51" s="198"/>
      <c r="AH51" s="198"/>
    </row>
    <row r="52" spans="14:34" ht="23.25" x14ac:dyDescent="0.25">
      <c r="N52" s="217" t="s">
        <v>49</v>
      </c>
      <c r="O52" s="217"/>
      <c r="P52" s="218"/>
      <c r="Q52" s="218"/>
      <c r="R52" s="207"/>
      <c r="S52" s="208"/>
      <c r="T52" s="219"/>
      <c r="U52" s="219"/>
      <c r="V52" s="219"/>
      <c r="W52" s="219"/>
      <c r="X52" s="73"/>
      <c r="Y52" s="202"/>
      <c r="Z52" s="202"/>
      <c r="AA52" s="202"/>
      <c r="AB52" s="202"/>
      <c r="AC52" s="202"/>
      <c r="AD52" s="202"/>
      <c r="AE52" s="202"/>
      <c r="AF52" s="202"/>
      <c r="AG52" s="198"/>
      <c r="AH52" s="198"/>
    </row>
    <row r="54" spans="14:34" ht="15.75" customHeight="1" x14ac:dyDescent="0.25">
      <c r="N54" s="209" t="s">
        <v>106</v>
      </c>
      <c r="O54" s="209"/>
      <c r="P54" s="209" t="s">
        <v>48</v>
      </c>
      <c r="Q54" s="209"/>
      <c r="R54" s="71"/>
      <c r="S54" s="71"/>
      <c r="T54" s="210" t="s">
        <v>95</v>
      </c>
      <c r="U54" s="210"/>
      <c r="V54" s="210"/>
      <c r="W54" s="210"/>
      <c r="X54" s="210"/>
      <c r="Y54" s="199" t="s">
        <v>99</v>
      </c>
      <c r="Z54" s="199"/>
      <c r="AA54" s="199"/>
      <c r="AB54" s="199"/>
      <c r="AC54" s="199"/>
      <c r="AD54" s="199"/>
      <c r="AE54" s="199"/>
      <c r="AF54" s="199"/>
      <c r="AG54" s="197" t="s">
        <v>98</v>
      </c>
      <c r="AH54" s="197"/>
    </row>
    <row r="55" spans="14:34" ht="17.25" customHeight="1" x14ac:dyDescent="0.25">
      <c r="N55" s="209"/>
      <c r="O55" s="209"/>
      <c r="P55" s="209"/>
      <c r="Q55" s="209"/>
      <c r="R55" s="71"/>
      <c r="S55" s="71"/>
      <c r="T55" s="211"/>
      <c r="U55" s="211"/>
      <c r="V55" s="211"/>
      <c r="W55" s="211"/>
      <c r="X55" s="211"/>
      <c r="Y55" s="199"/>
      <c r="Z55" s="199"/>
      <c r="AA55" s="199"/>
      <c r="AB55" s="199"/>
      <c r="AC55" s="199"/>
      <c r="AD55" s="199"/>
      <c r="AE55" s="199"/>
      <c r="AF55" s="199"/>
      <c r="AG55" s="197"/>
      <c r="AH55" s="197"/>
    </row>
    <row r="56" spans="14:34" ht="15" x14ac:dyDescent="0.25">
      <c r="N56" s="212"/>
      <c r="O56" s="212"/>
      <c r="P56" s="213">
        <v>0</v>
      </c>
      <c r="Q56" s="213"/>
      <c r="R56" s="203" t="s">
        <v>101</v>
      </c>
      <c r="S56" s="204"/>
      <c r="T56" s="214" t="s">
        <v>100</v>
      </c>
      <c r="U56" s="214"/>
      <c r="V56" s="214" t="s">
        <v>97</v>
      </c>
      <c r="W56" s="214"/>
      <c r="X56" s="215" t="s">
        <v>96</v>
      </c>
      <c r="Y56" s="200"/>
      <c r="Z56" s="200"/>
      <c r="AA56" s="200"/>
      <c r="AB56" s="200"/>
      <c r="AC56" s="200"/>
      <c r="AD56" s="200"/>
      <c r="AE56" s="200"/>
      <c r="AF56" s="200"/>
      <c r="AG56" s="198"/>
      <c r="AH56" s="198"/>
    </row>
    <row r="57" spans="14:34" ht="15" x14ac:dyDescent="0.25">
      <c r="N57" s="212"/>
      <c r="O57" s="212"/>
      <c r="P57" s="213"/>
      <c r="Q57" s="213"/>
      <c r="R57" s="205"/>
      <c r="S57" s="206"/>
      <c r="T57" s="214"/>
      <c r="U57" s="214"/>
      <c r="V57" s="214"/>
      <c r="W57" s="214"/>
      <c r="X57" s="216"/>
      <c r="Y57" s="201"/>
      <c r="Z57" s="201"/>
      <c r="AA57" s="201"/>
      <c r="AB57" s="201"/>
      <c r="AC57" s="201"/>
      <c r="AD57" s="201"/>
      <c r="AE57" s="201"/>
      <c r="AF57" s="201"/>
      <c r="AG57" s="198"/>
      <c r="AH57" s="198"/>
    </row>
    <row r="58" spans="14:34" ht="23.25" x14ac:dyDescent="0.25">
      <c r="N58" s="217" t="s">
        <v>49</v>
      </c>
      <c r="O58" s="217"/>
      <c r="P58" s="218"/>
      <c r="Q58" s="218"/>
      <c r="R58" s="207"/>
      <c r="S58" s="208"/>
      <c r="T58" s="219"/>
      <c r="U58" s="219"/>
      <c r="V58" s="219"/>
      <c r="W58" s="219"/>
      <c r="X58" s="73"/>
      <c r="Y58" s="202"/>
      <c r="Z58" s="202"/>
      <c r="AA58" s="202"/>
      <c r="AB58" s="202"/>
      <c r="AC58" s="202"/>
      <c r="AD58" s="202"/>
      <c r="AE58" s="202"/>
      <c r="AF58" s="202"/>
      <c r="AG58" s="198"/>
      <c r="AH58" s="198"/>
    </row>
  </sheetData>
  <sheetProtection algorithmName="SHA-512" hashValue="G9a2J8vbjRZ05zLR0VFVLH2uUYeA9/81V88+in5ubzenqV8Y9/ndDkTg68//q+nSfcXz7YPtgG2pNcpMSyflAA==" saltValue="8V568hYhwTnxGeu6cbO8ag==" spinCount="100000" sheet="1" objects="1" scenarios="1"/>
  <mergeCells count="171">
    <mergeCell ref="X56:X57"/>
    <mergeCell ref="Y56:AF57"/>
    <mergeCell ref="AG56:AH58"/>
    <mergeCell ref="N58:O58"/>
    <mergeCell ref="P58:Q58"/>
    <mergeCell ref="R58:S58"/>
    <mergeCell ref="T58:U58"/>
    <mergeCell ref="V58:W58"/>
    <mergeCell ref="Y58:AF58"/>
    <mergeCell ref="N56:O57"/>
    <mergeCell ref="P56:Q57"/>
    <mergeCell ref="R56:S57"/>
    <mergeCell ref="T56:U57"/>
    <mergeCell ref="V56:W57"/>
    <mergeCell ref="N54:O55"/>
    <mergeCell ref="P54:Q55"/>
    <mergeCell ref="T54:X55"/>
    <mergeCell ref="Y54:AF55"/>
    <mergeCell ref="AG54:AH55"/>
    <mergeCell ref="X50:X51"/>
    <mergeCell ref="Y50:AF51"/>
    <mergeCell ref="AG50:AH52"/>
    <mergeCell ref="N52:O52"/>
    <mergeCell ref="P52:Q52"/>
    <mergeCell ref="R52:S52"/>
    <mergeCell ref="T52:U52"/>
    <mergeCell ref="V52:W52"/>
    <mergeCell ref="Y52:AF52"/>
    <mergeCell ref="N50:O51"/>
    <mergeCell ref="P50:Q51"/>
    <mergeCell ref="R50:S51"/>
    <mergeCell ref="T50:U51"/>
    <mergeCell ref="V50:W51"/>
    <mergeCell ref="N48:O49"/>
    <mergeCell ref="P48:Q49"/>
    <mergeCell ref="T48:X49"/>
    <mergeCell ref="Y48:AF49"/>
    <mergeCell ref="AG48:AH49"/>
    <mergeCell ref="X44:X45"/>
    <mergeCell ref="Y44:AF45"/>
    <mergeCell ref="AG44:AH46"/>
    <mergeCell ref="N46:O46"/>
    <mergeCell ref="P46:Q46"/>
    <mergeCell ref="R46:S46"/>
    <mergeCell ref="T46:U46"/>
    <mergeCell ref="V46:W46"/>
    <mergeCell ref="Y46:AF46"/>
    <mergeCell ref="N44:O45"/>
    <mergeCell ref="P44:Q45"/>
    <mergeCell ref="R44:S45"/>
    <mergeCell ref="T44:U45"/>
    <mergeCell ref="V44:W45"/>
    <mergeCell ref="N42:O43"/>
    <mergeCell ref="P42:Q43"/>
    <mergeCell ref="T42:X43"/>
    <mergeCell ref="Y42:AF43"/>
    <mergeCell ref="AG42:AH43"/>
    <mergeCell ref="X38:X39"/>
    <mergeCell ref="Y38:AF39"/>
    <mergeCell ref="AG38:AH40"/>
    <mergeCell ref="N40:O40"/>
    <mergeCell ref="P40:Q40"/>
    <mergeCell ref="R40:S40"/>
    <mergeCell ref="T40:U40"/>
    <mergeCell ref="V40:W40"/>
    <mergeCell ref="Y40:AF40"/>
    <mergeCell ref="N38:O39"/>
    <mergeCell ref="P38:Q39"/>
    <mergeCell ref="R38:S39"/>
    <mergeCell ref="T38:U39"/>
    <mergeCell ref="V38:W39"/>
    <mergeCell ref="N36:O37"/>
    <mergeCell ref="P36:Q37"/>
    <mergeCell ref="T36:X37"/>
    <mergeCell ref="Y36:AF37"/>
    <mergeCell ref="AG36:AH37"/>
    <mergeCell ref="X32:X33"/>
    <mergeCell ref="Y32:AF33"/>
    <mergeCell ref="AG32:AH34"/>
    <mergeCell ref="N34:O34"/>
    <mergeCell ref="P34:Q34"/>
    <mergeCell ref="R34:S34"/>
    <mergeCell ref="T34:U34"/>
    <mergeCell ref="V34:W34"/>
    <mergeCell ref="Y34:AF34"/>
    <mergeCell ref="N32:O33"/>
    <mergeCell ref="P32:Q33"/>
    <mergeCell ref="R32:S33"/>
    <mergeCell ref="T32:U33"/>
    <mergeCell ref="V32:W33"/>
    <mergeCell ref="Y28:AF28"/>
    <mergeCell ref="P30:Q31"/>
    <mergeCell ref="T30:X31"/>
    <mergeCell ref="Y30:AF31"/>
    <mergeCell ref="AG30:AH31"/>
    <mergeCell ref="AG24:AH25"/>
    <mergeCell ref="N26:O27"/>
    <mergeCell ref="P26:Q27"/>
    <mergeCell ref="R26:S27"/>
    <mergeCell ref="T26:U27"/>
    <mergeCell ref="V26:W27"/>
    <mergeCell ref="X26:X27"/>
    <mergeCell ref="Y26:AF27"/>
    <mergeCell ref="AG26:AH28"/>
    <mergeCell ref="N28:O28"/>
    <mergeCell ref="P28:Q28"/>
    <mergeCell ref="R28:S28"/>
    <mergeCell ref="T28:U28"/>
    <mergeCell ref="V28:W28"/>
    <mergeCell ref="N30:O31"/>
    <mergeCell ref="Y22:AF22"/>
    <mergeCell ref="N24:O25"/>
    <mergeCell ref="P24:Q25"/>
    <mergeCell ref="T24:X25"/>
    <mergeCell ref="Y24:AF25"/>
    <mergeCell ref="AG18:AH19"/>
    <mergeCell ref="N20:O21"/>
    <mergeCell ref="P20:Q21"/>
    <mergeCell ref="R20:S21"/>
    <mergeCell ref="T20:U21"/>
    <mergeCell ref="V20:W21"/>
    <mergeCell ref="X20:X21"/>
    <mergeCell ref="Y20:AF21"/>
    <mergeCell ref="AG20:AH22"/>
    <mergeCell ref="N22:O22"/>
    <mergeCell ref="P22:Q22"/>
    <mergeCell ref="R22:S22"/>
    <mergeCell ref="T22:U22"/>
    <mergeCell ref="V22:W22"/>
    <mergeCell ref="Y16:AF16"/>
    <mergeCell ref="N18:O19"/>
    <mergeCell ref="P18:Q19"/>
    <mergeCell ref="T18:X19"/>
    <mergeCell ref="Y18:AF19"/>
    <mergeCell ref="Y12:AF13"/>
    <mergeCell ref="AG12:AH13"/>
    <mergeCell ref="N14:O15"/>
    <mergeCell ref="P14:Q15"/>
    <mergeCell ref="R14:S15"/>
    <mergeCell ref="T14:U15"/>
    <mergeCell ref="V14:W15"/>
    <mergeCell ref="X14:X15"/>
    <mergeCell ref="Y14:AF15"/>
    <mergeCell ref="AG14:AH16"/>
    <mergeCell ref="N16:O16"/>
    <mergeCell ref="P16:Q16"/>
    <mergeCell ref="R16:S16"/>
    <mergeCell ref="T16:U16"/>
    <mergeCell ref="V16:W16"/>
    <mergeCell ref="AG6:AH7"/>
    <mergeCell ref="AG8:AH10"/>
    <mergeCell ref="Y6:AF7"/>
    <mergeCell ref="Y8:AF9"/>
    <mergeCell ref="Y10:AF10"/>
    <mergeCell ref="R8:S9"/>
    <mergeCell ref="R10:S10"/>
    <mergeCell ref="N12:O13"/>
    <mergeCell ref="P12:Q13"/>
    <mergeCell ref="T12:X13"/>
    <mergeCell ref="N6:O7"/>
    <mergeCell ref="P6:Q7"/>
    <mergeCell ref="N8:O9"/>
    <mergeCell ref="P8:Q9"/>
    <mergeCell ref="T8:U9"/>
    <mergeCell ref="V8:W9"/>
    <mergeCell ref="T6:X7"/>
    <mergeCell ref="X8:X9"/>
    <mergeCell ref="N10:O10"/>
    <mergeCell ref="P10:Q10"/>
    <mergeCell ref="T10:U10"/>
    <mergeCell ref="V10:W10"/>
  </mergeCells>
  <conditionalFormatting sqref="P8:Q9">
    <cfRule type="cellIs" dxfId="1625" priority="99" operator="lessThan">
      <formula>0</formula>
    </cfRule>
    <cfRule type="cellIs" dxfId="1624" priority="100" operator="greaterThan">
      <formula>0</formula>
    </cfRule>
    <cfRule type="cellIs" dxfId="1623" priority="101" operator="equal">
      <formula>0</formula>
    </cfRule>
    <cfRule type="cellIs" dxfId="1622" priority="105" operator="lessThan">
      <formula>0</formula>
    </cfRule>
    <cfRule type="cellIs" dxfId="1621" priority="106" operator="greaterThan">
      <formula>0</formula>
    </cfRule>
    <cfRule type="cellIs" dxfId="1620" priority="107" operator="equal">
      <formula>0</formula>
    </cfRule>
  </conditionalFormatting>
  <conditionalFormatting sqref="P14:Q15">
    <cfRule type="cellIs" dxfId="1619" priority="88" operator="lessThan">
      <formula>0</formula>
    </cfRule>
    <cfRule type="cellIs" dxfId="1618" priority="89" operator="greaterThan">
      <formula>0</formula>
    </cfRule>
    <cfRule type="cellIs" dxfId="1617" priority="90" operator="equal">
      <formula>0</formula>
    </cfRule>
    <cfRule type="cellIs" dxfId="1616" priority="94" operator="lessThan">
      <formula>0</formula>
    </cfRule>
    <cfRule type="cellIs" dxfId="1615" priority="95" operator="greaterThan">
      <formula>0</formula>
    </cfRule>
    <cfRule type="cellIs" dxfId="1614" priority="96" operator="equal">
      <formula>0</formula>
    </cfRule>
  </conditionalFormatting>
  <conditionalFormatting sqref="P20:Q21">
    <cfRule type="cellIs" dxfId="1613" priority="77" operator="lessThan">
      <formula>0</formula>
    </cfRule>
    <cfRule type="cellIs" dxfId="1612" priority="78" operator="greaterThan">
      <formula>0</formula>
    </cfRule>
    <cfRule type="cellIs" dxfId="1611" priority="79" operator="equal">
      <formula>0</formula>
    </cfRule>
    <cfRule type="cellIs" dxfId="1610" priority="83" operator="lessThan">
      <formula>0</formula>
    </cfRule>
    <cfRule type="cellIs" dxfId="1609" priority="84" operator="greaterThan">
      <formula>0</formula>
    </cfRule>
    <cfRule type="cellIs" dxfId="1608" priority="85" operator="equal">
      <formula>0</formula>
    </cfRule>
  </conditionalFormatting>
  <conditionalFormatting sqref="P26:Q27">
    <cfRule type="cellIs" dxfId="1607" priority="66" operator="lessThan">
      <formula>0</formula>
    </cfRule>
    <cfRule type="cellIs" dxfId="1606" priority="67" operator="greaterThan">
      <formula>0</formula>
    </cfRule>
    <cfRule type="cellIs" dxfId="1605" priority="68" operator="equal">
      <formula>0</formula>
    </cfRule>
    <cfRule type="cellIs" dxfId="1604" priority="72" operator="lessThan">
      <formula>0</formula>
    </cfRule>
    <cfRule type="cellIs" dxfId="1603" priority="73" operator="greaterThan">
      <formula>0</formula>
    </cfRule>
    <cfRule type="cellIs" dxfId="1602" priority="74" operator="equal">
      <formula>0</formula>
    </cfRule>
  </conditionalFormatting>
  <conditionalFormatting sqref="P32:Q33">
    <cfRule type="cellIs" dxfId="1601" priority="55" operator="lessThan">
      <formula>0</formula>
    </cfRule>
    <cfRule type="cellIs" dxfId="1600" priority="56" operator="greaterThan">
      <formula>0</formula>
    </cfRule>
    <cfRule type="cellIs" dxfId="1599" priority="57" operator="equal">
      <formula>0</formula>
    </cfRule>
    <cfRule type="cellIs" dxfId="1598" priority="61" operator="lessThan">
      <formula>0</formula>
    </cfRule>
    <cfRule type="cellIs" dxfId="1597" priority="62" operator="greaterThan">
      <formula>0</formula>
    </cfRule>
    <cfRule type="cellIs" dxfId="1596" priority="63" operator="equal">
      <formula>0</formula>
    </cfRule>
  </conditionalFormatting>
  <conditionalFormatting sqref="P38:Q39">
    <cfRule type="cellIs" dxfId="1595" priority="44" operator="lessThan">
      <formula>0</formula>
    </cfRule>
    <cfRule type="cellIs" dxfId="1594" priority="45" operator="greaterThan">
      <formula>0</formula>
    </cfRule>
    <cfRule type="cellIs" dxfId="1593" priority="46" operator="equal">
      <formula>0</formula>
    </cfRule>
    <cfRule type="cellIs" dxfId="1592" priority="50" operator="lessThan">
      <formula>0</formula>
    </cfRule>
    <cfRule type="cellIs" dxfId="1591" priority="51" operator="greaterThan">
      <formula>0</formula>
    </cfRule>
    <cfRule type="cellIs" dxfId="1590" priority="52" operator="equal">
      <formula>0</formula>
    </cfRule>
  </conditionalFormatting>
  <conditionalFormatting sqref="P44:Q45">
    <cfRule type="cellIs" dxfId="1589" priority="33" operator="lessThan">
      <formula>0</formula>
    </cfRule>
    <cfRule type="cellIs" dxfId="1588" priority="34" operator="greaterThan">
      <formula>0</formula>
    </cfRule>
    <cfRule type="cellIs" dxfId="1587" priority="35" operator="equal">
      <formula>0</formula>
    </cfRule>
    <cfRule type="cellIs" dxfId="1586" priority="39" operator="lessThan">
      <formula>0</formula>
    </cfRule>
    <cfRule type="cellIs" dxfId="1585" priority="40" operator="greaterThan">
      <formula>0</formula>
    </cfRule>
    <cfRule type="cellIs" dxfId="1584" priority="41" operator="equal">
      <formula>0</formula>
    </cfRule>
  </conditionalFormatting>
  <conditionalFormatting sqref="P50:Q51">
    <cfRule type="cellIs" dxfId="1583" priority="22" operator="lessThan">
      <formula>0</formula>
    </cfRule>
    <cfRule type="cellIs" dxfId="1582" priority="23" operator="greaterThan">
      <formula>0</formula>
    </cfRule>
    <cfRule type="cellIs" dxfId="1581" priority="24" operator="equal">
      <formula>0</formula>
    </cfRule>
    <cfRule type="cellIs" dxfId="1580" priority="28" operator="lessThan">
      <formula>0</formula>
    </cfRule>
    <cfRule type="cellIs" dxfId="1579" priority="29" operator="greaterThan">
      <formula>0</formula>
    </cfRule>
    <cfRule type="cellIs" dxfId="1578" priority="30" operator="equal">
      <formula>0</formula>
    </cfRule>
  </conditionalFormatting>
  <conditionalFormatting sqref="P56:Q57">
    <cfRule type="cellIs" dxfId="1577" priority="11" operator="lessThan">
      <formula>0</formula>
    </cfRule>
    <cfRule type="cellIs" dxfId="1576" priority="12" operator="greaterThan">
      <formula>0</formula>
    </cfRule>
    <cfRule type="cellIs" dxfId="1575" priority="13" operator="equal">
      <formula>0</formula>
    </cfRule>
    <cfRule type="cellIs" dxfId="1574" priority="17" operator="lessThan">
      <formula>0</formula>
    </cfRule>
    <cfRule type="cellIs" dxfId="1573" priority="18" operator="greaterThan">
      <formula>0</formula>
    </cfRule>
    <cfRule type="cellIs" dxfId="1572" priority="19" operator="equal">
      <formula>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Data!$C$17:$C$28</xm:f>
          </x14:formula1>
          <xm:sqref>N8:O9 N14:O15 N20:O21 N26:O27 N32:O33 N38:O39 N44:O45 N50:O51 N56:O57</xm:sqref>
        </x14:dataValidation>
        <x14:dataValidation type="list" allowBlank="1" showInputMessage="1" showErrorMessage="1">
          <x14:formula1>
            <xm:f>Data!$H$18:$H$20</xm:f>
          </x14:formula1>
          <xm:sqref>R16:X16 R22:X22 R28:X28 R34:X34 R40:X40 R46:X46 R52:X52 R58:X58 R10:X10 AG8:AH10 AG14:AH16 AG20:AH22 AG26:AH28 AG32:AH34 AG38:AH40 AG44:AH46 AG50:AH52 AG56:AH58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P205"/>
  <sheetViews>
    <sheetView topLeftCell="B1" zoomScale="50" zoomScaleNormal="50" workbookViewId="0">
      <selection activeCell="F7" sqref="F7"/>
    </sheetView>
  </sheetViews>
  <sheetFormatPr defaultRowHeight="21" x14ac:dyDescent="0.25"/>
  <cols>
    <col min="3" max="3" width="11.85546875" style="47" customWidth="1"/>
    <col min="4" max="4" width="18.140625" style="2" customWidth="1"/>
    <col min="5" max="5" width="15" style="3" customWidth="1"/>
    <col min="6" max="6" width="22.85546875" style="3" customWidth="1"/>
    <col min="7" max="7" width="14.7109375" style="3" customWidth="1"/>
    <col min="8" max="8" width="13.7109375" style="4" customWidth="1"/>
    <col min="9" max="9" width="15" style="2" customWidth="1"/>
    <col min="10" max="10" width="13.7109375" style="2" customWidth="1"/>
    <col min="11" max="11" width="22.140625" style="2" customWidth="1"/>
    <col min="12" max="12" width="18.85546875" style="2" customWidth="1"/>
    <col min="13" max="13" width="16.140625" style="2" customWidth="1"/>
    <col min="14" max="14" width="21.7109375" style="38" customWidth="1"/>
    <col min="15" max="15" width="23.5703125" style="2" customWidth="1"/>
    <col min="16" max="16" width="20.85546875" style="1" customWidth="1"/>
    <col min="17" max="17" width="28.7109375" style="35" customWidth="1"/>
    <col min="18" max="18" width="7.7109375" customWidth="1"/>
    <col min="28" max="28" width="18.7109375" customWidth="1"/>
  </cols>
  <sheetData>
    <row r="2" spans="3:37" s="39" customFormat="1" ht="55.5" customHeight="1" x14ac:dyDescent="0.55000000000000004">
      <c r="C2" s="228" t="s">
        <v>170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T2" s="230" t="s">
        <v>81</v>
      </c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</row>
    <row r="3" spans="3:37" s="37" customFormat="1" ht="38.25" customHeight="1" x14ac:dyDescent="0.55000000000000004">
      <c r="C3" s="90" t="s">
        <v>1</v>
      </c>
      <c r="D3" s="90" t="s">
        <v>113</v>
      </c>
      <c r="E3" s="90" t="s">
        <v>114</v>
      </c>
      <c r="F3" s="90" t="s">
        <v>87</v>
      </c>
      <c r="G3" s="90" t="s">
        <v>65</v>
      </c>
      <c r="H3" s="90" t="s">
        <v>3</v>
      </c>
      <c r="I3" s="90" t="s">
        <v>4</v>
      </c>
      <c r="J3" s="90" t="s">
        <v>5</v>
      </c>
      <c r="K3" s="90" t="s">
        <v>17</v>
      </c>
      <c r="L3" s="90" t="s">
        <v>58</v>
      </c>
      <c r="M3" s="90" t="s">
        <v>22</v>
      </c>
      <c r="N3" s="90" t="s">
        <v>25</v>
      </c>
      <c r="O3" s="90" t="s">
        <v>26</v>
      </c>
      <c r="P3" s="91" t="s">
        <v>60</v>
      </c>
      <c r="Q3" s="90" t="s">
        <v>61</v>
      </c>
      <c r="R3" s="231" t="s">
        <v>89</v>
      </c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</row>
    <row r="4" spans="3:37" s="36" customFormat="1" ht="29.25" customHeight="1" x14ac:dyDescent="0.25">
      <c r="C4" s="92">
        <v>1</v>
      </c>
      <c r="D4" s="78"/>
      <c r="E4" s="93"/>
      <c r="F4" s="94"/>
      <c r="G4" s="93"/>
      <c r="H4" s="95"/>
      <c r="I4" s="78"/>
      <c r="J4" s="78"/>
      <c r="K4" s="94"/>
      <c r="L4" s="94"/>
      <c r="M4" s="78"/>
      <c r="N4" s="96"/>
      <c r="O4" s="78"/>
      <c r="P4" s="78"/>
      <c r="Q4" s="97"/>
      <c r="R4" s="231"/>
      <c r="T4" s="64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3:37" ht="28.5" customHeight="1" x14ac:dyDescent="0.25">
      <c r="C5" s="92">
        <v>2</v>
      </c>
      <c r="D5" s="78"/>
      <c r="E5" s="93"/>
      <c r="F5" s="94"/>
      <c r="G5" s="98"/>
      <c r="H5" s="95"/>
      <c r="I5" s="78"/>
      <c r="J5" s="78"/>
      <c r="K5" s="94"/>
      <c r="L5" s="94"/>
      <c r="M5" s="78"/>
      <c r="N5" s="96"/>
      <c r="O5" s="78"/>
      <c r="P5" s="78"/>
      <c r="Q5" s="97"/>
      <c r="R5" s="231"/>
      <c r="T5" s="62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1"/>
    </row>
    <row r="6" spans="3:37" ht="24.75" customHeight="1" x14ac:dyDescent="0.25">
      <c r="C6" s="92">
        <v>3</v>
      </c>
      <c r="D6" s="78"/>
      <c r="E6" s="93"/>
      <c r="F6" s="94"/>
      <c r="G6" s="93"/>
      <c r="H6" s="95"/>
      <c r="I6" s="78"/>
      <c r="J6" s="78"/>
      <c r="K6" s="94"/>
      <c r="L6" s="94"/>
      <c r="M6" s="78"/>
      <c r="N6" s="96"/>
      <c r="O6" s="78"/>
      <c r="P6" s="78"/>
      <c r="Q6" s="97"/>
      <c r="R6" s="231"/>
      <c r="T6" s="62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1"/>
    </row>
    <row r="7" spans="3:37" ht="24.75" customHeight="1" x14ac:dyDescent="0.25">
      <c r="C7" s="92">
        <v>4</v>
      </c>
      <c r="D7" s="78"/>
      <c r="E7" s="93"/>
      <c r="F7" s="94"/>
      <c r="G7" s="93"/>
      <c r="H7" s="95"/>
      <c r="I7" s="78"/>
      <c r="J7" s="78"/>
      <c r="K7" s="94"/>
      <c r="L7" s="94"/>
      <c r="M7" s="78"/>
      <c r="N7" s="96"/>
      <c r="O7" s="78"/>
      <c r="P7" s="78"/>
      <c r="Q7" s="97"/>
      <c r="R7" s="231"/>
      <c r="T7" s="62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1"/>
    </row>
    <row r="8" spans="3:37" ht="24.75" customHeight="1" x14ac:dyDescent="0.25">
      <c r="C8" s="92">
        <v>5</v>
      </c>
      <c r="D8" s="78"/>
      <c r="E8" s="99"/>
      <c r="F8" s="100"/>
      <c r="G8" s="99"/>
      <c r="H8" s="95"/>
      <c r="I8" s="78"/>
      <c r="J8" s="78"/>
      <c r="K8" s="94"/>
      <c r="L8" s="94"/>
      <c r="M8" s="78"/>
      <c r="N8" s="96"/>
      <c r="O8" s="78"/>
      <c r="P8" s="78"/>
      <c r="Q8" s="97"/>
      <c r="R8" s="231"/>
      <c r="T8" s="62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1"/>
    </row>
    <row r="9" spans="3:37" ht="24.75" customHeight="1" x14ac:dyDescent="0.25">
      <c r="C9" s="92">
        <v>6</v>
      </c>
      <c r="D9" s="78"/>
      <c r="E9" s="93"/>
      <c r="F9" s="94"/>
      <c r="G9" s="93"/>
      <c r="H9" s="95"/>
      <c r="I9" s="78"/>
      <c r="J9" s="78"/>
      <c r="K9" s="94"/>
      <c r="L9" s="94"/>
      <c r="M9" s="78"/>
      <c r="N9" s="96"/>
      <c r="O9" s="78"/>
      <c r="P9" s="78"/>
      <c r="Q9" s="97"/>
      <c r="R9" s="231"/>
      <c r="T9" s="62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1"/>
    </row>
    <row r="10" spans="3:37" ht="24.75" customHeight="1" x14ac:dyDescent="0.25">
      <c r="C10" s="92">
        <v>7</v>
      </c>
      <c r="D10" s="78"/>
      <c r="E10" s="93"/>
      <c r="F10" s="94"/>
      <c r="G10" s="93"/>
      <c r="H10" s="95"/>
      <c r="I10" s="78"/>
      <c r="J10" s="78"/>
      <c r="K10" s="94"/>
      <c r="L10" s="94"/>
      <c r="M10" s="78"/>
      <c r="N10" s="96"/>
      <c r="O10" s="78"/>
      <c r="P10" s="78"/>
      <c r="Q10" s="97"/>
      <c r="R10" s="231"/>
      <c r="T10" s="62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1"/>
    </row>
    <row r="11" spans="3:37" ht="24.75" customHeight="1" x14ac:dyDescent="0.25">
      <c r="C11" s="92">
        <v>8</v>
      </c>
      <c r="D11" s="78"/>
      <c r="E11" s="93"/>
      <c r="F11" s="94"/>
      <c r="G11" s="93"/>
      <c r="H11" s="95"/>
      <c r="I11" s="78"/>
      <c r="J11" s="78"/>
      <c r="K11" s="94"/>
      <c r="L11" s="94"/>
      <c r="M11" s="78"/>
      <c r="N11" s="96"/>
      <c r="O11" s="78"/>
      <c r="P11" s="78"/>
      <c r="Q11" s="97"/>
      <c r="R11" s="231"/>
      <c r="T11" s="62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1"/>
    </row>
    <row r="12" spans="3:37" ht="24.75" customHeight="1" x14ac:dyDescent="0.25">
      <c r="C12" s="92">
        <v>9</v>
      </c>
      <c r="D12" s="78"/>
      <c r="E12" s="93"/>
      <c r="F12" s="94"/>
      <c r="G12" s="93"/>
      <c r="H12" s="95"/>
      <c r="I12" s="78"/>
      <c r="J12" s="78"/>
      <c r="K12" s="94"/>
      <c r="L12" s="94"/>
      <c r="M12" s="78"/>
      <c r="N12" s="96"/>
      <c r="O12" s="78"/>
      <c r="P12" s="78"/>
      <c r="Q12" s="97"/>
      <c r="R12" s="231"/>
      <c r="T12" s="232" t="s">
        <v>85</v>
      </c>
      <c r="U12" s="233"/>
      <c r="V12" s="233"/>
      <c r="W12" s="233"/>
      <c r="X12" s="234" t="s">
        <v>84</v>
      </c>
      <c r="Y12" s="234"/>
      <c r="Z12" s="234"/>
      <c r="AA12" s="234"/>
      <c r="AB12" s="234"/>
      <c r="AC12" s="235" t="s">
        <v>83</v>
      </c>
      <c r="AD12" s="235"/>
      <c r="AE12" s="235"/>
      <c r="AF12" s="235"/>
      <c r="AG12" s="235"/>
      <c r="AH12" s="233" t="s">
        <v>82</v>
      </c>
      <c r="AI12" s="233"/>
      <c r="AJ12" s="233"/>
      <c r="AK12" s="236"/>
    </row>
    <row r="13" spans="3:37" ht="24.75" customHeight="1" x14ac:dyDescent="0.25">
      <c r="C13" s="92">
        <v>10</v>
      </c>
      <c r="D13" s="78"/>
      <c r="E13" s="93"/>
      <c r="F13" s="94"/>
      <c r="G13" s="93"/>
      <c r="H13" s="95"/>
      <c r="I13" s="78"/>
      <c r="J13" s="78"/>
      <c r="K13" s="94"/>
      <c r="L13" s="94"/>
      <c r="M13" s="78"/>
      <c r="N13" s="96"/>
      <c r="O13" s="78"/>
      <c r="P13" s="78"/>
      <c r="Q13" s="97"/>
      <c r="R13" s="231"/>
      <c r="T13" s="232"/>
      <c r="U13" s="233"/>
      <c r="V13" s="233"/>
      <c r="W13" s="233"/>
      <c r="X13" s="234"/>
      <c r="Y13" s="234"/>
      <c r="Z13" s="234"/>
      <c r="AA13" s="234"/>
      <c r="AB13" s="234"/>
      <c r="AC13" s="235"/>
      <c r="AD13" s="235"/>
      <c r="AE13" s="235"/>
      <c r="AF13" s="235"/>
      <c r="AG13" s="235"/>
      <c r="AH13" s="233"/>
      <c r="AI13" s="233"/>
      <c r="AJ13" s="233"/>
      <c r="AK13" s="236"/>
    </row>
    <row r="14" spans="3:37" ht="24.75" customHeight="1" x14ac:dyDescent="0.25">
      <c r="C14" s="92">
        <v>11</v>
      </c>
      <c r="D14" s="78"/>
      <c r="E14" s="93"/>
      <c r="F14" s="94"/>
      <c r="G14" s="93"/>
      <c r="H14" s="95"/>
      <c r="I14" s="78"/>
      <c r="J14" s="78"/>
      <c r="K14" s="94"/>
      <c r="L14" s="94"/>
      <c r="M14" s="78"/>
      <c r="N14" s="96"/>
      <c r="O14" s="78"/>
      <c r="P14" s="78"/>
      <c r="Q14" s="97"/>
      <c r="R14" s="231"/>
      <c r="T14" s="229" t="s">
        <v>86</v>
      </c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</row>
    <row r="15" spans="3:37" ht="24.75" customHeight="1" x14ac:dyDescent="0.25">
      <c r="C15" s="92">
        <v>12</v>
      </c>
      <c r="D15" s="78"/>
      <c r="E15" s="93"/>
      <c r="F15" s="94"/>
      <c r="G15" s="93"/>
      <c r="H15" s="95"/>
      <c r="I15" s="78"/>
      <c r="J15" s="78"/>
      <c r="K15" s="94"/>
      <c r="L15" s="94"/>
      <c r="M15" s="78"/>
      <c r="N15" s="96"/>
      <c r="O15" s="78"/>
      <c r="P15" s="78"/>
      <c r="Q15" s="97"/>
      <c r="R15" s="231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</row>
    <row r="16" spans="3:37" ht="21" customHeight="1" x14ac:dyDescent="0.25">
      <c r="C16" s="92">
        <v>13</v>
      </c>
      <c r="D16" s="78"/>
      <c r="E16" s="93"/>
      <c r="F16" s="94"/>
      <c r="G16" s="93"/>
      <c r="H16" s="95"/>
      <c r="I16" s="78"/>
      <c r="J16" s="78"/>
      <c r="K16" s="94"/>
      <c r="L16" s="94"/>
      <c r="M16" s="78"/>
      <c r="N16" s="96"/>
      <c r="O16" s="78"/>
      <c r="P16" s="78"/>
      <c r="Q16" s="97"/>
      <c r="R16" s="231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</row>
    <row r="17" spans="3:42" ht="21" customHeight="1" x14ac:dyDescent="0.25">
      <c r="C17" s="92">
        <v>14</v>
      </c>
      <c r="D17" s="78"/>
      <c r="E17" s="93"/>
      <c r="F17" s="94"/>
      <c r="G17" s="93"/>
      <c r="H17" s="95"/>
      <c r="I17" s="78"/>
      <c r="J17" s="78"/>
      <c r="K17" s="94"/>
      <c r="L17" s="94"/>
      <c r="M17" s="78"/>
      <c r="N17" s="96"/>
      <c r="O17" s="78"/>
      <c r="P17" s="78"/>
      <c r="Q17" s="97"/>
      <c r="R17" s="231"/>
      <c r="T17" s="67"/>
      <c r="AA17" s="67"/>
      <c r="AK17" s="67"/>
      <c r="AL17" s="67"/>
    </row>
    <row r="18" spans="3:42" ht="24.75" customHeight="1" x14ac:dyDescent="0.25">
      <c r="C18" s="92">
        <v>15</v>
      </c>
      <c r="D18" s="78"/>
      <c r="E18" s="93"/>
      <c r="F18" s="94"/>
      <c r="G18" s="93"/>
      <c r="H18" s="95"/>
      <c r="I18" s="78"/>
      <c r="J18" s="78"/>
      <c r="K18" s="94"/>
      <c r="L18" s="94"/>
      <c r="M18" s="78"/>
      <c r="N18" s="96"/>
      <c r="O18" s="78"/>
      <c r="P18" s="78"/>
      <c r="Q18" s="97"/>
      <c r="R18" s="231"/>
      <c r="S18" s="67"/>
      <c r="T18" s="67"/>
      <c r="AK18" s="67"/>
      <c r="AL18" s="67"/>
    </row>
    <row r="19" spans="3:42" ht="24.75" customHeight="1" x14ac:dyDescent="0.25">
      <c r="C19" s="92">
        <v>16</v>
      </c>
      <c r="D19" s="78"/>
      <c r="E19" s="93"/>
      <c r="F19" s="94"/>
      <c r="G19" s="93"/>
      <c r="H19" s="95"/>
      <c r="I19" s="78"/>
      <c r="J19" s="78"/>
      <c r="K19" s="94"/>
      <c r="L19" s="94"/>
      <c r="M19" s="78"/>
      <c r="N19" s="96"/>
      <c r="O19" s="78"/>
      <c r="P19" s="78"/>
      <c r="Q19" s="97"/>
      <c r="R19" s="231"/>
      <c r="S19" s="67"/>
      <c r="T19" s="237" t="s">
        <v>166</v>
      </c>
      <c r="U19" s="237"/>
      <c r="V19" s="237"/>
      <c r="W19" s="237"/>
      <c r="Y19" s="237" t="s">
        <v>167</v>
      </c>
      <c r="Z19" s="237"/>
      <c r="AA19" s="237"/>
      <c r="AB19" s="237"/>
      <c r="AD19" s="241" t="s">
        <v>182</v>
      </c>
      <c r="AE19" s="241"/>
      <c r="AF19" s="241"/>
      <c r="AG19" s="241"/>
      <c r="AK19" s="67"/>
      <c r="AL19" s="67"/>
    </row>
    <row r="20" spans="3:42" ht="24.75" customHeight="1" x14ac:dyDescent="0.25">
      <c r="C20" s="92">
        <v>17</v>
      </c>
      <c r="D20" s="78"/>
      <c r="E20" s="93"/>
      <c r="F20" s="94"/>
      <c r="G20" s="93"/>
      <c r="H20" s="95"/>
      <c r="I20" s="78"/>
      <c r="J20" s="78"/>
      <c r="K20" s="94"/>
      <c r="L20" s="94"/>
      <c r="M20" s="78"/>
      <c r="N20" s="96"/>
      <c r="O20" s="78"/>
      <c r="P20" s="78"/>
      <c r="Q20" s="97"/>
      <c r="R20" s="231"/>
      <c r="S20" s="67"/>
      <c r="T20" s="237"/>
      <c r="U20" s="237"/>
      <c r="V20" s="237"/>
      <c r="W20" s="237"/>
      <c r="Y20" s="237"/>
      <c r="Z20" s="237"/>
      <c r="AA20" s="237"/>
      <c r="AB20" s="237"/>
      <c r="AD20" s="241"/>
      <c r="AE20" s="241"/>
      <c r="AF20" s="241"/>
      <c r="AG20" s="241"/>
      <c r="AK20" s="67"/>
      <c r="AL20" s="67"/>
    </row>
    <row r="21" spans="3:42" ht="24.75" customHeight="1" x14ac:dyDescent="0.25">
      <c r="C21" s="92">
        <v>18</v>
      </c>
      <c r="D21" s="78"/>
      <c r="E21" s="93"/>
      <c r="F21" s="94"/>
      <c r="G21" s="93"/>
      <c r="H21" s="95"/>
      <c r="I21" s="78"/>
      <c r="J21" s="78"/>
      <c r="K21" s="94"/>
      <c r="L21" s="94"/>
      <c r="M21" s="78"/>
      <c r="N21" s="96"/>
      <c r="O21" s="78"/>
      <c r="P21" s="78"/>
      <c r="Q21" s="97"/>
      <c r="R21" s="231"/>
      <c r="S21" s="67"/>
      <c r="T21" s="238">
        <f ca="1">NOW()-TODAY()</f>
        <v>0.82146284721966367</v>
      </c>
      <c r="U21" s="238"/>
      <c r="V21" s="238"/>
      <c r="W21" s="238"/>
      <c r="Y21" s="239">
        <f ca="1">TODAY()</f>
        <v>45227</v>
      </c>
      <c r="Z21" s="239"/>
      <c r="AA21" s="239"/>
      <c r="AB21" s="239"/>
      <c r="AD21" s="240">
        <f ca="1">TODAY()</f>
        <v>45227</v>
      </c>
      <c r="AE21" s="240"/>
      <c r="AF21" s="240"/>
      <c r="AG21" s="240"/>
      <c r="AK21" s="67"/>
      <c r="AL21" s="67"/>
    </row>
    <row r="22" spans="3:42" ht="24.75" customHeight="1" x14ac:dyDescent="0.25">
      <c r="C22" s="92">
        <v>19</v>
      </c>
      <c r="D22" s="78"/>
      <c r="E22" s="93"/>
      <c r="F22" s="94"/>
      <c r="G22" s="93"/>
      <c r="H22" s="95"/>
      <c r="I22" s="78"/>
      <c r="J22" s="78"/>
      <c r="K22" s="94"/>
      <c r="L22" s="94"/>
      <c r="M22" s="78"/>
      <c r="N22" s="96"/>
      <c r="O22" s="78"/>
      <c r="P22" s="78"/>
      <c r="Q22" s="97"/>
      <c r="R22" s="231"/>
      <c r="S22" s="67"/>
      <c r="T22" s="238"/>
      <c r="U22" s="238"/>
      <c r="V22" s="238"/>
      <c r="W22" s="238"/>
      <c r="Y22" s="239"/>
      <c r="Z22" s="239"/>
      <c r="AA22" s="239"/>
      <c r="AB22" s="239"/>
      <c r="AD22" s="240"/>
      <c r="AE22" s="240"/>
      <c r="AF22" s="240"/>
      <c r="AG22" s="240"/>
      <c r="AK22" s="67"/>
      <c r="AL22" s="67"/>
    </row>
    <row r="23" spans="3:42" ht="24.75" customHeight="1" x14ac:dyDescent="0.25">
      <c r="C23" s="92">
        <v>20</v>
      </c>
      <c r="D23" s="78"/>
      <c r="E23" s="93"/>
      <c r="F23" s="94"/>
      <c r="G23" s="93"/>
      <c r="H23" s="95"/>
      <c r="I23" s="78"/>
      <c r="J23" s="78"/>
      <c r="K23" s="94"/>
      <c r="L23" s="94"/>
      <c r="M23" s="78"/>
      <c r="N23" s="96"/>
      <c r="O23" s="78"/>
      <c r="P23" s="78"/>
      <c r="Q23" s="97"/>
      <c r="R23" s="231"/>
      <c r="S23" s="67"/>
      <c r="T23" s="67"/>
      <c r="AK23" s="67"/>
      <c r="AL23" s="67"/>
    </row>
    <row r="24" spans="3:42" ht="24.75" customHeight="1" x14ac:dyDescent="0.25">
      <c r="C24" s="92">
        <v>21</v>
      </c>
      <c r="D24" s="78"/>
      <c r="E24" s="93"/>
      <c r="F24" s="94"/>
      <c r="G24" s="93"/>
      <c r="H24" s="95"/>
      <c r="I24" s="78"/>
      <c r="J24" s="78"/>
      <c r="K24" s="94"/>
      <c r="L24" s="94"/>
      <c r="M24" s="78"/>
      <c r="N24" s="96"/>
      <c r="O24" s="78"/>
      <c r="P24" s="78"/>
      <c r="Q24" s="97"/>
      <c r="R24" s="231"/>
      <c r="T24" s="172"/>
      <c r="U24" s="172"/>
      <c r="V24" s="172"/>
      <c r="W24" s="172"/>
    </row>
    <row r="25" spans="3:42" ht="24.75" customHeight="1" x14ac:dyDescent="0.25">
      <c r="C25" s="92">
        <v>22</v>
      </c>
      <c r="D25" s="78"/>
      <c r="E25" s="93"/>
      <c r="F25" s="94"/>
      <c r="G25" s="93"/>
      <c r="H25" s="95"/>
      <c r="I25" s="78"/>
      <c r="J25" s="78"/>
      <c r="K25" s="94"/>
      <c r="L25" s="94"/>
      <c r="M25" s="78"/>
      <c r="N25" s="96"/>
      <c r="O25" s="78"/>
      <c r="P25" s="78"/>
      <c r="Q25" s="97"/>
      <c r="R25" s="231"/>
      <c r="T25" s="172"/>
      <c r="U25" s="172"/>
      <c r="V25" s="172"/>
      <c r="W25" s="172"/>
    </row>
    <row r="26" spans="3:42" ht="21" customHeight="1" x14ac:dyDescent="0.25">
      <c r="C26" s="92">
        <v>23</v>
      </c>
      <c r="D26" s="78"/>
      <c r="E26" s="93"/>
      <c r="F26" s="94"/>
      <c r="G26" s="93"/>
      <c r="H26" s="95"/>
      <c r="I26" s="78"/>
      <c r="J26" s="78"/>
      <c r="K26" s="94"/>
      <c r="L26" s="94"/>
      <c r="M26" s="78"/>
      <c r="N26" s="96"/>
      <c r="O26" s="78"/>
      <c r="P26" s="78"/>
      <c r="Q26" s="97"/>
      <c r="R26" s="231"/>
    </row>
    <row r="27" spans="3:42" ht="25.5" customHeight="1" x14ac:dyDescent="0.25">
      <c r="C27" s="92">
        <v>24</v>
      </c>
      <c r="D27" s="78"/>
      <c r="E27" s="93"/>
      <c r="F27" s="94"/>
      <c r="G27" s="93"/>
      <c r="H27" s="95"/>
      <c r="I27" s="78"/>
      <c r="J27" s="78"/>
      <c r="K27" s="94"/>
      <c r="L27" s="94"/>
      <c r="M27" s="78"/>
      <c r="N27" s="96"/>
      <c r="O27" s="78"/>
      <c r="P27" s="78"/>
      <c r="Q27" s="97"/>
      <c r="R27" s="231"/>
      <c r="T27" s="171"/>
      <c r="U27" s="171"/>
      <c r="V27" s="171"/>
      <c r="W27" s="171"/>
    </row>
    <row r="28" spans="3:42" ht="24.75" customHeight="1" x14ac:dyDescent="0.25">
      <c r="C28" s="92">
        <v>25</v>
      </c>
      <c r="D28" s="78"/>
      <c r="E28" s="93"/>
      <c r="F28" s="94"/>
      <c r="G28" s="93"/>
      <c r="H28" s="95"/>
      <c r="I28" s="78"/>
      <c r="J28" s="78"/>
      <c r="K28" s="94"/>
      <c r="L28" s="94"/>
      <c r="M28" s="78"/>
      <c r="N28" s="96"/>
      <c r="O28" s="78"/>
      <c r="P28" s="78"/>
      <c r="Q28" s="97"/>
      <c r="R28" s="231"/>
      <c r="T28" s="171"/>
      <c r="U28" s="171"/>
      <c r="V28" s="171"/>
      <c r="W28" s="171"/>
      <c r="X28" s="170"/>
      <c r="Z28" s="169"/>
      <c r="AA28" s="169"/>
      <c r="AB28" s="169"/>
      <c r="AC28" s="169"/>
      <c r="AD28" s="169"/>
      <c r="AF28" s="168"/>
      <c r="AG28" s="168"/>
      <c r="AH28" s="168"/>
      <c r="AI28" s="168"/>
      <c r="AJ28" s="168"/>
      <c r="AL28" s="168"/>
      <c r="AM28" s="168"/>
      <c r="AN28" s="168"/>
      <c r="AO28" s="168"/>
      <c r="AP28" s="168"/>
    </row>
    <row r="29" spans="3:42" ht="24.75" customHeight="1" x14ac:dyDescent="0.25">
      <c r="C29" s="92">
        <v>26</v>
      </c>
      <c r="D29" s="78"/>
      <c r="E29" s="93"/>
      <c r="F29" s="94"/>
      <c r="G29" s="93"/>
      <c r="H29" s="95"/>
      <c r="I29" s="78"/>
      <c r="J29" s="78"/>
      <c r="K29" s="94"/>
      <c r="L29" s="94"/>
      <c r="M29" s="78"/>
      <c r="N29" s="96"/>
      <c r="O29" s="78"/>
      <c r="P29" s="78"/>
      <c r="Q29" s="97"/>
      <c r="R29" s="231"/>
      <c r="T29" s="170"/>
      <c r="U29" s="170"/>
      <c r="V29" s="170"/>
      <c r="W29" s="170"/>
      <c r="X29" s="170"/>
      <c r="Z29" s="169"/>
      <c r="AA29" s="169"/>
      <c r="AB29" s="169"/>
      <c r="AC29" s="169"/>
      <c r="AD29" s="169"/>
      <c r="AF29" s="168"/>
      <c r="AG29" s="168"/>
      <c r="AH29" s="168"/>
      <c r="AI29" s="168"/>
      <c r="AJ29" s="168"/>
      <c r="AL29" s="168"/>
      <c r="AM29" s="168"/>
      <c r="AN29" s="168"/>
      <c r="AO29" s="168"/>
      <c r="AP29" s="168"/>
    </row>
    <row r="30" spans="3:42" ht="24.75" customHeight="1" x14ac:dyDescent="0.25">
      <c r="C30" s="92">
        <v>27</v>
      </c>
      <c r="D30" s="78"/>
      <c r="E30" s="93"/>
      <c r="F30" s="94"/>
      <c r="G30" s="93"/>
      <c r="H30" s="95"/>
      <c r="I30" s="78"/>
      <c r="J30" s="78"/>
      <c r="K30" s="94"/>
      <c r="L30" s="94"/>
      <c r="M30" s="78"/>
      <c r="N30" s="96"/>
      <c r="O30" s="78"/>
      <c r="P30" s="78"/>
      <c r="Q30" s="97"/>
      <c r="R30" s="231"/>
      <c r="T30" s="182"/>
      <c r="U30" s="182"/>
      <c r="V30" s="182"/>
      <c r="W30" s="182"/>
    </row>
    <row r="31" spans="3:42" ht="24.75" customHeight="1" x14ac:dyDescent="0.25">
      <c r="C31" s="92">
        <v>28</v>
      </c>
      <c r="D31" s="78"/>
      <c r="E31" s="93"/>
      <c r="F31" s="94"/>
      <c r="G31" s="93"/>
      <c r="H31" s="95"/>
      <c r="I31" s="78"/>
      <c r="J31" s="78"/>
      <c r="K31" s="94"/>
      <c r="L31" s="94"/>
      <c r="M31" s="78"/>
      <c r="N31" s="96"/>
      <c r="O31" s="78"/>
      <c r="P31" s="78"/>
      <c r="Q31" s="97"/>
      <c r="R31" s="231"/>
      <c r="T31" s="182"/>
      <c r="U31" s="182"/>
      <c r="V31" s="182"/>
      <c r="W31" s="182"/>
    </row>
    <row r="32" spans="3:42" ht="24.75" customHeight="1" x14ac:dyDescent="0.25">
      <c r="C32" s="92">
        <v>29</v>
      </c>
      <c r="D32" s="78"/>
      <c r="E32" s="93"/>
      <c r="F32" s="94"/>
      <c r="G32" s="93"/>
      <c r="H32" s="95"/>
      <c r="I32" s="78"/>
      <c r="J32" s="78"/>
      <c r="K32" s="94"/>
      <c r="L32" s="94"/>
      <c r="M32" s="78"/>
      <c r="N32" s="96"/>
      <c r="O32" s="78"/>
      <c r="P32" s="78"/>
      <c r="Q32" s="97"/>
      <c r="R32" s="231"/>
    </row>
    <row r="33" spans="3:18" ht="24.75" customHeight="1" x14ac:dyDescent="0.25">
      <c r="C33" s="92">
        <v>30</v>
      </c>
      <c r="D33" s="78"/>
      <c r="E33" s="93"/>
      <c r="F33" s="94"/>
      <c r="G33" s="93"/>
      <c r="H33" s="95"/>
      <c r="I33" s="78"/>
      <c r="J33" s="78"/>
      <c r="K33" s="94"/>
      <c r="L33" s="94"/>
      <c r="M33" s="78"/>
      <c r="N33" s="96"/>
      <c r="O33" s="78"/>
      <c r="P33" s="78"/>
      <c r="Q33" s="97"/>
      <c r="R33" s="231"/>
    </row>
    <row r="34" spans="3:18" ht="24.75" customHeight="1" x14ac:dyDescent="0.25">
      <c r="C34" s="92">
        <v>31</v>
      </c>
      <c r="D34" s="78"/>
      <c r="E34" s="93"/>
      <c r="F34" s="94"/>
      <c r="G34" s="93"/>
      <c r="H34" s="95"/>
      <c r="I34" s="78"/>
      <c r="J34" s="78"/>
      <c r="K34" s="94"/>
      <c r="L34" s="94"/>
      <c r="M34" s="78"/>
      <c r="N34" s="96"/>
      <c r="O34" s="78"/>
      <c r="P34" s="78"/>
      <c r="Q34" s="97"/>
      <c r="R34" s="231"/>
    </row>
    <row r="35" spans="3:18" ht="24.75" customHeight="1" x14ac:dyDescent="0.25">
      <c r="C35" s="92">
        <v>32</v>
      </c>
      <c r="D35" s="78"/>
      <c r="E35" s="93"/>
      <c r="F35" s="94"/>
      <c r="G35" s="93"/>
      <c r="H35" s="95"/>
      <c r="I35" s="78"/>
      <c r="J35" s="78"/>
      <c r="K35" s="94"/>
      <c r="L35" s="94"/>
      <c r="M35" s="78"/>
      <c r="N35" s="96"/>
      <c r="O35" s="78"/>
      <c r="P35" s="78"/>
      <c r="Q35" s="97"/>
      <c r="R35" s="231"/>
    </row>
    <row r="36" spans="3:18" ht="24.75" customHeight="1" x14ac:dyDescent="0.25">
      <c r="C36" s="92">
        <v>33</v>
      </c>
      <c r="D36" s="78"/>
      <c r="E36" s="93"/>
      <c r="F36" s="94"/>
      <c r="G36" s="93"/>
      <c r="H36" s="95"/>
      <c r="I36" s="78"/>
      <c r="J36" s="78"/>
      <c r="K36" s="94"/>
      <c r="L36" s="94"/>
      <c r="M36" s="78"/>
      <c r="N36" s="96"/>
      <c r="O36" s="78"/>
      <c r="P36" s="78"/>
      <c r="Q36" s="97"/>
      <c r="R36" s="231"/>
    </row>
    <row r="37" spans="3:18" ht="24.75" customHeight="1" x14ac:dyDescent="0.25">
      <c r="C37" s="92">
        <v>34</v>
      </c>
      <c r="D37" s="78"/>
      <c r="E37" s="93"/>
      <c r="F37" s="94"/>
      <c r="G37" s="93"/>
      <c r="H37" s="95"/>
      <c r="I37" s="78"/>
      <c r="J37" s="78"/>
      <c r="K37" s="94"/>
      <c r="L37" s="94"/>
      <c r="M37" s="78"/>
      <c r="N37" s="96"/>
      <c r="O37" s="78"/>
      <c r="P37" s="78"/>
      <c r="Q37" s="97"/>
      <c r="R37" s="231"/>
    </row>
    <row r="38" spans="3:18" ht="24.75" customHeight="1" x14ac:dyDescent="0.25">
      <c r="C38" s="92">
        <v>35</v>
      </c>
      <c r="D38" s="78"/>
      <c r="E38" s="93"/>
      <c r="F38" s="94"/>
      <c r="G38" s="93"/>
      <c r="H38" s="95"/>
      <c r="I38" s="78"/>
      <c r="J38" s="78"/>
      <c r="K38" s="94"/>
      <c r="L38" s="94"/>
      <c r="M38" s="78"/>
      <c r="N38" s="96"/>
      <c r="O38" s="78"/>
      <c r="P38" s="78"/>
      <c r="Q38" s="97"/>
      <c r="R38" s="231"/>
    </row>
    <row r="39" spans="3:18" ht="24.75" customHeight="1" x14ac:dyDescent="0.25">
      <c r="C39" s="92">
        <v>36</v>
      </c>
      <c r="D39" s="78"/>
      <c r="E39" s="93"/>
      <c r="F39" s="94"/>
      <c r="G39" s="93"/>
      <c r="H39" s="95"/>
      <c r="I39" s="78"/>
      <c r="J39" s="78"/>
      <c r="K39" s="94"/>
      <c r="L39" s="94"/>
      <c r="M39" s="78"/>
      <c r="N39" s="96"/>
      <c r="O39" s="78"/>
      <c r="P39" s="78"/>
      <c r="Q39" s="97"/>
      <c r="R39" s="231"/>
    </row>
    <row r="40" spans="3:18" ht="24.75" customHeight="1" x14ac:dyDescent="0.25">
      <c r="C40" s="92">
        <v>37</v>
      </c>
      <c r="D40" s="78"/>
      <c r="E40" s="93"/>
      <c r="F40" s="94"/>
      <c r="G40" s="93"/>
      <c r="H40" s="95"/>
      <c r="I40" s="78"/>
      <c r="J40" s="78"/>
      <c r="K40" s="94"/>
      <c r="L40" s="94"/>
      <c r="M40" s="78"/>
      <c r="N40" s="96"/>
      <c r="O40" s="78"/>
      <c r="P40" s="78"/>
      <c r="Q40" s="97"/>
      <c r="R40" s="231"/>
    </row>
    <row r="41" spans="3:18" ht="24.75" customHeight="1" x14ac:dyDescent="0.25">
      <c r="C41" s="92">
        <v>38</v>
      </c>
      <c r="D41" s="78"/>
      <c r="E41" s="93"/>
      <c r="F41" s="94"/>
      <c r="G41" s="93"/>
      <c r="H41" s="95"/>
      <c r="I41" s="78"/>
      <c r="J41" s="78"/>
      <c r="K41" s="94"/>
      <c r="L41" s="94"/>
      <c r="M41" s="78"/>
      <c r="N41" s="96"/>
      <c r="O41" s="78"/>
      <c r="P41" s="78"/>
      <c r="Q41" s="97"/>
      <c r="R41" s="231"/>
    </row>
    <row r="42" spans="3:18" ht="24.75" customHeight="1" x14ac:dyDescent="0.25">
      <c r="C42" s="92">
        <v>39</v>
      </c>
      <c r="D42" s="78"/>
      <c r="E42" s="93"/>
      <c r="F42" s="94"/>
      <c r="G42" s="93"/>
      <c r="H42" s="95"/>
      <c r="I42" s="78"/>
      <c r="J42" s="78"/>
      <c r="K42" s="94"/>
      <c r="L42" s="94"/>
      <c r="M42" s="78"/>
      <c r="N42" s="96"/>
      <c r="O42" s="78"/>
      <c r="P42" s="78"/>
      <c r="Q42" s="97"/>
      <c r="R42" s="231"/>
    </row>
    <row r="43" spans="3:18" ht="24.75" customHeight="1" x14ac:dyDescent="0.25">
      <c r="C43" s="92">
        <v>40</v>
      </c>
      <c r="D43" s="78"/>
      <c r="E43" s="93"/>
      <c r="F43" s="94"/>
      <c r="G43" s="93"/>
      <c r="H43" s="95"/>
      <c r="I43" s="78"/>
      <c r="J43" s="78"/>
      <c r="K43" s="94"/>
      <c r="L43" s="94"/>
      <c r="M43" s="78"/>
      <c r="N43" s="96"/>
      <c r="O43" s="78"/>
      <c r="P43" s="78"/>
      <c r="Q43" s="97"/>
      <c r="R43" s="231"/>
    </row>
    <row r="44" spans="3:18" ht="24.75" customHeight="1" x14ac:dyDescent="0.25">
      <c r="C44" s="92">
        <v>41</v>
      </c>
      <c r="D44" s="78"/>
      <c r="E44" s="93"/>
      <c r="F44" s="94"/>
      <c r="G44" s="93"/>
      <c r="H44" s="95"/>
      <c r="I44" s="78"/>
      <c r="J44" s="78"/>
      <c r="K44" s="94"/>
      <c r="L44" s="94"/>
      <c r="M44" s="78"/>
      <c r="N44" s="96"/>
      <c r="O44" s="78"/>
      <c r="P44" s="78"/>
      <c r="Q44" s="97"/>
      <c r="R44" s="231"/>
    </row>
    <row r="45" spans="3:18" ht="24.75" customHeight="1" x14ac:dyDescent="0.25">
      <c r="C45" s="92">
        <v>42</v>
      </c>
      <c r="D45" s="78"/>
      <c r="E45" s="93"/>
      <c r="F45" s="94"/>
      <c r="G45" s="93"/>
      <c r="H45" s="95"/>
      <c r="I45" s="78"/>
      <c r="J45" s="78"/>
      <c r="K45" s="94"/>
      <c r="L45" s="94"/>
      <c r="M45" s="78"/>
      <c r="N45" s="96"/>
      <c r="O45" s="78"/>
      <c r="P45" s="78"/>
      <c r="Q45" s="97"/>
      <c r="R45" s="231"/>
    </row>
    <row r="46" spans="3:18" ht="24.75" customHeight="1" x14ac:dyDescent="0.25">
      <c r="C46" s="92">
        <v>43</v>
      </c>
      <c r="D46" s="78"/>
      <c r="E46" s="93"/>
      <c r="F46" s="94"/>
      <c r="G46" s="93"/>
      <c r="H46" s="95"/>
      <c r="I46" s="78"/>
      <c r="J46" s="78"/>
      <c r="K46" s="94"/>
      <c r="L46" s="94"/>
      <c r="M46" s="78"/>
      <c r="N46" s="96"/>
      <c r="O46" s="78"/>
      <c r="P46" s="78"/>
      <c r="Q46" s="97"/>
      <c r="R46" s="231"/>
    </row>
    <row r="47" spans="3:18" ht="24.75" customHeight="1" x14ac:dyDescent="0.25">
      <c r="C47" s="92">
        <v>44</v>
      </c>
      <c r="D47" s="78"/>
      <c r="E47" s="93"/>
      <c r="F47" s="94"/>
      <c r="G47" s="93"/>
      <c r="H47" s="95"/>
      <c r="I47" s="78"/>
      <c r="J47" s="78"/>
      <c r="K47" s="94"/>
      <c r="L47" s="94"/>
      <c r="M47" s="78"/>
      <c r="N47" s="96"/>
      <c r="O47" s="78"/>
      <c r="P47" s="78"/>
      <c r="Q47" s="97"/>
      <c r="R47" s="231"/>
    </row>
    <row r="48" spans="3:18" ht="24.75" customHeight="1" x14ac:dyDescent="0.25">
      <c r="C48" s="92">
        <v>45</v>
      </c>
      <c r="D48" s="78"/>
      <c r="E48" s="93"/>
      <c r="F48" s="94"/>
      <c r="G48" s="93"/>
      <c r="H48" s="95"/>
      <c r="I48" s="78"/>
      <c r="J48" s="78"/>
      <c r="K48" s="94"/>
      <c r="L48" s="94"/>
      <c r="M48" s="78"/>
      <c r="N48" s="96"/>
      <c r="O48" s="78"/>
      <c r="P48" s="78"/>
      <c r="Q48" s="97"/>
      <c r="R48" s="231"/>
    </row>
    <row r="49" spans="3:18" ht="24.75" customHeight="1" x14ac:dyDescent="0.25">
      <c r="C49" s="92">
        <v>46</v>
      </c>
      <c r="D49" s="78"/>
      <c r="E49" s="93"/>
      <c r="F49" s="94"/>
      <c r="G49" s="93"/>
      <c r="H49" s="95"/>
      <c r="I49" s="78"/>
      <c r="J49" s="78"/>
      <c r="K49" s="94"/>
      <c r="L49" s="94"/>
      <c r="M49" s="78"/>
      <c r="N49" s="96"/>
      <c r="O49" s="78"/>
      <c r="P49" s="78"/>
      <c r="Q49" s="97"/>
      <c r="R49" s="231"/>
    </row>
    <row r="50" spans="3:18" ht="24.75" customHeight="1" x14ac:dyDescent="0.25">
      <c r="C50" s="92">
        <v>47</v>
      </c>
      <c r="D50" s="78"/>
      <c r="E50" s="93"/>
      <c r="F50" s="94"/>
      <c r="G50" s="93"/>
      <c r="H50" s="95"/>
      <c r="I50" s="78"/>
      <c r="J50" s="78"/>
      <c r="K50" s="94"/>
      <c r="L50" s="94"/>
      <c r="M50" s="78"/>
      <c r="N50" s="96"/>
      <c r="O50" s="78"/>
      <c r="P50" s="78"/>
      <c r="Q50" s="97"/>
      <c r="R50" s="231"/>
    </row>
    <row r="51" spans="3:18" ht="24.75" customHeight="1" x14ac:dyDescent="0.25">
      <c r="C51" s="92">
        <v>48</v>
      </c>
      <c r="D51" s="78"/>
      <c r="E51" s="93"/>
      <c r="F51" s="94"/>
      <c r="G51" s="93"/>
      <c r="H51" s="95"/>
      <c r="I51" s="78"/>
      <c r="J51" s="78"/>
      <c r="K51" s="94"/>
      <c r="L51" s="94"/>
      <c r="M51" s="78"/>
      <c r="N51" s="96"/>
      <c r="O51" s="78"/>
      <c r="P51" s="78"/>
      <c r="Q51" s="97"/>
      <c r="R51" s="231"/>
    </row>
    <row r="52" spans="3:18" ht="24.75" customHeight="1" x14ac:dyDescent="0.25">
      <c r="C52" s="92">
        <v>49</v>
      </c>
      <c r="D52" s="78"/>
      <c r="E52" s="93"/>
      <c r="F52" s="94"/>
      <c r="G52" s="93"/>
      <c r="H52" s="95"/>
      <c r="I52" s="78"/>
      <c r="J52" s="78"/>
      <c r="K52" s="94"/>
      <c r="L52" s="94"/>
      <c r="M52" s="78"/>
      <c r="N52" s="96"/>
      <c r="O52" s="78"/>
      <c r="P52" s="78"/>
      <c r="Q52" s="97"/>
      <c r="R52" s="231"/>
    </row>
    <row r="53" spans="3:18" ht="24.75" customHeight="1" x14ac:dyDescent="0.25">
      <c r="C53" s="92">
        <v>50</v>
      </c>
      <c r="D53" s="78"/>
      <c r="E53" s="93"/>
      <c r="F53" s="94"/>
      <c r="G53" s="93"/>
      <c r="H53" s="95"/>
      <c r="I53" s="78"/>
      <c r="J53" s="78"/>
      <c r="K53" s="94"/>
      <c r="L53" s="94"/>
      <c r="M53" s="78"/>
      <c r="N53" s="96"/>
      <c r="O53" s="78"/>
      <c r="P53" s="78"/>
      <c r="Q53" s="97"/>
      <c r="R53" s="231"/>
    </row>
    <row r="54" spans="3:18" ht="24.75" customHeight="1" x14ac:dyDescent="0.25">
      <c r="C54" s="92">
        <v>51</v>
      </c>
      <c r="D54" s="78"/>
      <c r="E54" s="93"/>
      <c r="F54" s="94"/>
      <c r="G54" s="93"/>
      <c r="H54" s="95"/>
      <c r="I54" s="78"/>
      <c r="J54" s="78"/>
      <c r="K54" s="94"/>
      <c r="L54" s="94"/>
      <c r="M54" s="78"/>
      <c r="N54" s="96"/>
      <c r="O54" s="78"/>
      <c r="P54" s="78"/>
      <c r="Q54" s="97"/>
      <c r="R54" s="231"/>
    </row>
    <row r="55" spans="3:18" ht="24.75" customHeight="1" x14ac:dyDescent="0.25">
      <c r="C55" s="92">
        <v>52</v>
      </c>
      <c r="D55" s="78"/>
      <c r="E55" s="93"/>
      <c r="F55" s="94"/>
      <c r="G55" s="93"/>
      <c r="H55" s="95"/>
      <c r="I55" s="78"/>
      <c r="J55" s="78"/>
      <c r="K55" s="94"/>
      <c r="L55" s="94"/>
      <c r="M55" s="78"/>
      <c r="N55" s="96"/>
      <c r="O55" s="78"/>
      <c r="P55" s="78"/>
      <c r="Q55" s="97"/>
      <c r="R55" s="231"/>
    </row>
    <row r="56" spans="3:18" ht="24.75" customHeight="1" x14ac:dyDescent="0.25">
      <c r="C56" s="92">
        <v>53</v>
      </c>
      <c r="D56" s="78"/>
      <c r="E56" s="93"/>
      <c r="F56" s="94"/>
      <c r="G56" s="93"/>
      <c r="H56" s="95"/>
      <c r="I56" s="78"/>
      <c r="J56" s="78"/>
      <c r="K56" s="94"/>
      <c r="L56" s="94"/>
      <c r="M56" s="78"/>
      <c r="N56" s="96"/>
      <c r="O56" s="78"/>
      <c r="P56" s="78"/>
      <c r="Q56" s="97"/>
      <c r="R56" s="231"/>
    </row>
    <row r="57" spans="3:18" ht="24.75" customHeight="1" x14ac:dyDescent="0.25">
      <c r="C57" s="92">
        <v>54</v>
      </c>
      <c r="D57" s="78"/>
      <c r="E57" s="93"/>
      <c r="F57" s="94"/>
      <c r="G57" s="93"/>
      <c r="H57" s="95"/>
      <c r="I57" s="78"/>
      <c r="J57" s="78"/>
      <c r="K57" s="94"/>
      <c r="L57" s="94"/>
      <c r="M57" s="78"/>
      <c r="N57" s="96"/>
      <c r="O57" s="78"/>
      <c r="P57" s="78"/>
      <c r="Q57" s="97"/>
      <c r="R57" s="231"/>
    </row>
    <row r="58" spans="3:18" ht="24.75" customHeight="1" x14ac:dyDescent="0.25">
      <c r="C58" s="92">
        <v>55</v>
      </c>
      <c r="D58" s="78"/>
      <c r="E58" s="93"/>
      <c r="F58" s="94"/>
      <c r="G58" s="93"/>
      <c r="H58" s="95"/>
      <c r="I58" s="78"/>
      <c r="J58" s="78"/>
      <c r="K58" s="94"/>
      <c r="L58" s="94"/>
      <c r="M58" s="78"/>
      <c r="N58" s="96"/>
      <c r="O58" s="78"/>
      <c r="P58" s="78"/>
      <c r="Q58" s="97"/>
      <c r="R58" s="231"/>
    </row>
    <row r="59" spans="3:18" ht="24.75" customHeight="1" x14ac:dyDescent="0.25">
      <c r="C59" s="92">
        <v>56</v>
      </c>
      <c r="D59" s="78"/>
      <c r="E59" s="93"/>
      <c r="F59" s="94"/>
      <c r="G59" s="93"/>
      <c r="H59" s="95"/>
      <c r="I59" s="78"/>
      <c r="J59" s="78"/>
      <c r="K59" s="94"/>
      <c r="L59" s="94"/>
      <c r="M59" s="78"/>
      <c r="N59" s="96"/>
      <c r="O59" s="78"/>
      <c r="P59" s="78"/>
      <c r="Q59" s="97"/>
      <c r="R59" s="231"/>
    </row>
    <row r="60" spans="3:18" ht="24.75" customHeight="1" x14ac:dyDescent="0.25">
      <c r="C60" s="92">
        <v>57</v>
      </c>
      <c r="D60" s="78"/>
      <c r="E60" s="93"/>
      <c r="F60" s="94"/>
      <c r="G60" s="93"/>
      <c r="H60" s="95"/>
      <c r="I60" s="78"/>
      <c r="J60" s="78"/>
      <c r="K60" s="94"/>
      <c r="L60" s="94"/>
      <c r="M60" s="78"/>
      <c r="N60" s="96"/>
      <c r="O60" s="78"/>
      <c r="P60" s="78"/>
      <c r="Q60" s="97"/>
      <c r="R60" s="231"/>
    </row>
    <row r="61" spans="3:18" ht="24.75" customHeight="1" x14ac:dyDescent="0.25">
      <c r="C61" s="92">
        <v>58</v>
      </c>
      <c r="D61" s="78"/>
      <c r="E61" s="93"/>
      <c r="F61" s="94"/>
      <c r="G61" s="93"/>
      <c r="H61" s="95"/>
      <c r="I61" s="78"/>
      <c r="J61" s="78"/>
      <c r="K61" s="94"/>
      <c r="L61" s="94"/>
      <c r="M61" s="78"/>
      <c r="N61" s="96"/>
      <c r="O61" s="78"/>
      <c r="P61" s="78"/>
      <c r="Q61" s="97"/>
      <c r="R61" s="231"/>
    </row>
    <row r="62" spans="3:18" ht="24.75" customHeight="1" x14ac:dyDescent="0.25">
      <c r="C62" s="92">
        <v>59</v>
      </c>
      <c r="D62" s="78"/>
      <c r="E62" s="93"/>
      <c r="F62" s="94"/>
      <c r="G62" s="93"/>
      <c r="H62" s="95"/>
      <c r="I62" s="78"/>
      <c r="J62" s="78"/>
      <c r="K62" s="94"/>
      <c r="L62" s="94"/>
      <c r="M62" s="78"/>
      <c r="N62" s="96"/>
      <c r="O62" s="78"/>
      <c r="P62" s="78"/>
      <c r="Q62" s="97"/>
      <c r="R62" s="231"/>
    </row>
    <row r="63" spans="3:18" ht="24.75" customHeight="1" x14ac:dyDescent="0.25">
      <c r="C63" s="92">
        <v>60</v>
      </c>
      <c r="D63" s="78"/>
      <c r="E63" s="93"/>
      <c r="F63" s="94"/>
      <c r="G63" s="93"/>
      <c r="H63" s="95"/>
      <c r="I63" s="78"/>
      <c r="J63" s="78"/>
      <c r="K63" s="94"/>
      <c r="L63" s="94"/>
      <c r="M63" s="78"/>
      <c r="N63" s="96"/>
      <c r="O63" s="78"/>
      <c r="P63" s="78"/>
      <c r="Q63" s="97"/>
      <c r="R63" s="231"/>
    </row>
    <row r="64" spans="3:18" ht="24.75" customHeight="1" x14ac:dyDescent="0.25">
      <c r="C64" s="92">
        <v>61</v>
      </c>
      <c r="D64" s="78"/>
      <c r="E64" s="93"/>
      <c r="F64" s="94"/>
      <c r="G64" s="93"/>
      <c r="H64" s="95"/>
      <c r="I64" s="78"/>
      <c r="J64" s="78"/>
      <c r="K64" s="94"/>
      <c r="L64" s="94"/>
      <c r="M64" s="78"/>
      <c r="N64" s="96"/>
      <c r="O64" s="78"/>
      <c r="P64" s="78"/>
      <c r="Q64" s="97"/>
      <c r="R64" s="231"/>
    </row>
    <row r="65" spans="3:18" ht="24.75" customHeight="1" x14ac:dyDescent="0.25">
      <c r="C65" s="92">
        <v>62</v>
      </c>
      <c r="D65" s="78"/>
      <c r="E65" s="93"/>
      <c r="F65" s="94"/>
      <c r="G65" s="93"/>
      <c r="H65" s="95"/>
      <c r="I65" s="78"/>
      <c r="J65" s="78"/>
      <c r="K65" s="94"/>
      <c r="L65" s="94"/>
      <c r="M65" s="78"/>
      <c r="N65" s="96"/>
      <c r="O65" s="78"/>
      <c r="P65" s="78"/>
      <c r="Q65" s="97"/>
      <c r="R65" s="231"/>
    </row>
    <row r="66" spans="3:18" ht="24.75" customHeight="1" x14ac:dyDescent="0.25">
      <c r="C66" s="92">
        <v>63</v>
      </c>
      <c r="D66" s="78"/>
      <c r="E66" s="93"/>
      <c r="F66" s="94"/>
      <c r="G66" s="93"/>
      <c r="H66" s="95"/>
      <c r="I66" s="78"/>
      <c r="J66" s="78"/>
      <c r="K66" s="94"/>
      <c r="L66" s="94"/>
      <c r="M66" s="78"/>
      <c r="N66" s="96"/>
      <c r="O66" s="78"/>
      <c r="P66" s="78"/>
      <c r="Q66" s="97"/>
      <c r="R66" s="231"/>
    </row>
    <row r="67" spans="3:18" ht="24.75" customHeight="1" x14ac:dyDescent="0.25">
      <c r="C67" s="92">
        <v>64</v>
      </c>
      <c r="D67" s="78"/>
      <c r="E67" s="93"/>
      <c r="F67" s="94"/>
      <c r="G67" s="93"/>
      <c r="H67" s="95"/>
      <c r="I67" s="78"/>
      <c r="J67" s="78"/>
      <c r="K67" s="94"/>
      <c r="L67" s="94"/>
      <c r="M67" s="78"/>
      <c r="N67" s="96"/>
      <c r="O67" s="78"/>
      <c r="P67" s="78"/>
      <c r="Q67" s="97"/>
      <c r="R67" s="231"/>
    </row>
    <row r="68" spans="3:18" ht="24.75" customHeight="1" x14ac:dyDescent="0.25">
      <c r="C68" s="92">
        <v>65</v>
      </c>
      <c r="D68" s="78"/>
      <c r="E68" s="93"/>
      <c r="F68" s="94"/>
      <c r="G68" s="93"/>
      <c r="H68" s="95"/>
      <c r="I68" s="78"/>
      <c r="J68" s="78"/>
      <c r="K68" s="94"/>
      <c r="L68" s="94"/>
      <c r="M68" s="78"/>
      <c r="N68" s="96"/>
      <c r="O68" s="78"/>
      <c r="P68" s="78"/>
      <c r="Q68" s="97"/>
      <c r="R68" s="231"/>
    </row>
    <row r="69" spans="3:18" ht="24.75" customHeight="1" x14ac:dyDescent="0.25">
      <c r="C69" s="92">
        <v>66</v>
      </c>
      <c r="D69" s="78"/>
      <c r="E69" s="93"/>
      <c r="F69" s="94"/>
      <c r="G69" s="93"/>
      <c r="H69" s="95"/>
      <c r="I69" s="78"/>
      <c r="J69" s="78"/>
      <c r="K69" s="94"/>
      <c r="L69" s="94"/>
      <c r="M69" s="78"/>
      <c r="N69" s="96"/>
      <c r="O69" s="78"/>
      <c r="P69" s="78"/>
      <c r="Q69" s="97"/>
      <c r="R69" s="231"/>
    </row>
    <row r="70" spans="3:18" ht="24.75" customHeight="1" x14ac:dyDescent="0.25">
      <c r="C70" s="92">
        <v>67</v>
      </c>
      <c r="D70" s="78"/>
      <c r="E70" s="93"/>
      <c r="F70" s="94"/>
      <c r="G70" s="93"/>
      <c r="H70" s="95"/>
      <c r="I70" s="78"/>
      <c r="J70" s="78"/>
      <c r="K70" s="94"/>
      <c r="L70" s="94"/>
      <c r="M70" s="78"/>
      <c r="N70" s="96"/>
      <c r="O70" s="78"/>
      <c r="P70" s="78"/>
      <c r="Q70" s="97"/>
      <c r="R70" s="231"/>
    </row>
    <row r="71" spans="3:18" ht="24.75" customHeight="1" x14ac:dyDescent="0.25">
      <c r="C71" s="92">
        <v>68</v>
      </c>
      <c r="D71" s="78"/>
      <c r="E71" s="93"/>
      <c r="F71" s="94"/>
      <c r="G71" s="93"/>
      <c r="H71" s="95"/>
      <c r="I71" s="78"/>
      <c r="J71" s="78"/>
      <c r="K71" s="94"/>
      <c r="L71" s="94"/>
      <c r="M71" s="78"/>
      <c r="N71" s="96"/>
      <c r="O71" s="78"/>
      <c r="P71" s="78"/>
      <c r="Q71" s="97"/>
      <c r="R71" s="231"/>
    </row>
    <row r="72" spans="3:18" ht="24.75" customHeight="1" x14ac:dyDescent="0.25">
      <c r="C72" s="92">
        <v>69</v>
      </c>
      <c r="D72" s="78"/>
      <c r="E72" s="93"/>
      <c r="F72" s="94"/>
      <c r="G72" s="93"/>
      <c r="H72" s="95"/>
      <c r="I72" s="78"/>
      <c r="J72" s="78"/>
      <c r="K72" s="94"/>
      <c r="L72" s="94"/>
      <c r="M72" s="78"/>
      <c r="N72" s="96"/>
      <c r="O72" s="78"/>
      <c r="P72" s="78"/>
      <c r="Q72" s="97"/>
      <c r="R72" s="231"/>
    </row>
    <row r="73" spans="3:18" ht="24.75" customHeight="1" x14ac:dyDescent="0.25">
      <c r="C73" s="92">
        <v>70</v>
      </c>
      <c r="D73" s="78"/>
      <c r="E73" s="93"/>
      <c r="F73" s="94"/>
      <c r="G73" s="93"/>
      <c r="H73" s="95"/>
      <c r="I73" s="78"/>
      <c r="J73" s="78"/>
      <c r="K73" s="94"/>
      <c r="L73" s="94"/>
      <c r="M73" s="78"/>
      <c r="N73" s="96"/>
      <c r="O73" s="78"/>
      <c r="P73" s="78"/>
      <c r="Q73" s="97"/>
      <c r="R73" s="231"/>
    </row>
    <row r="74" spans="3:18" ht="24.75" customHeight="1" x14ac:dyDescent="0.25">
      <c r="C74" s="92">
        <v>71</v>
      </c>
      <c r="D74" s="78"/>
      <c r="E74" s="93"/>
      <c r="F74" s="94"/>
      <c r="G74" s="93"/>
      <c r="H74" s="95"/>
      <c r="I74" s="78"/>
      <c r="J74" s="78"/>
      <c r="K74" s="94"/>
      <c r="L74" s="94"/>
      <c r="M74" s="78"/>
      <c r="N74" s="96"/>
      <c r="O74" s="78"/>
      <c r="P74" s="78"/>
      <c r="Q74" s="97"/>
      <c r="R74" s="231"/>
    </row>
    <row r="75" spans="3:18" ht="24.75" customHeight="1" x14ac:dyDescent="0.25">
      <c r="C75" s="92">
        <v>72</v>
      </c>
      <c r="D75" s="78"/>
      <c r="E75" s="93"/>
      <c r="F75" s="94"/>
      <c r="G75" s="93"/>
      <c r="H75" s="95"/>
      <c r="I75" s="78"/>
      <c r="J75" s="78"/>
      <c r="K75" s="94"/>
      <c r="L75" s="94"/>
      <c r="M75" s="78"/>
      <c r="N75" s="96"/>
      <c r="O75" s="78"/>
      <c r="P75" s="78"/>
      <c r="Q75" s="97"/>
      <c r="R75" s="231"/>
    </row>
    <row r="76" spans="3:18" ht="24.75" customHeight="1" x14ac:dyDescent="0.25">
      <c r="C76" s="92">
        <v>73</v>
      </c>
      <c r="D76" s="78"/>
      <c r="E76" s="93"/>
      <c r="F76" s="94"/>
      <c r="G76" s="93"/>
      <c r="H76" s="95"/>
      <c r="I76" s="78"/>
      <c r="J76" s="78"/>
      <c r="K76" s="94"/>
      <c r="L76" s="94"/>
      <c r="M76" s="78"/>
      <c r="N76" s="96"/>
      <c r="O76" s="78"/>
      <c r="P76" s="78"/>
      <c r="Q76" s="97"/>
      <c r="R76" s="231"/>
    </row>
    <row r="77" spans="3:18" ht="24.75" customHeight="1" x14ac:dyDescent="0.25">
      <c r="C77" s="92">
        <v>74</v>
      </c>
      <c r="D77" s="78"/>
      <c r="E77" s="93"/>
      <c r="F77" s="94"/>
      <c r="G77" s="93"/>
      <c r="H77" s="95"/>
      <c r="I77" s="78"/>
      <c r="J77" s="78"/>
      <c r="K77" s="94"/>
      <c r="L77" s="94"/>
      <c r="M77" s="78"/>
      <c r="N77" s="96"/>
      <c r="O77" s="78"/>
      <c r="P77" s="78"/>
      <c r="Q77" s="97"/>
      <c r="R77" s="231"/>
    </row>
    <row r="78" spans="3:18" ht="24.75" customHeight="1" x14ac:dyDescent="0.25">
      <c r="C78" s="92">
        <v>75</v>
      </c>
      <c r="D78" s="78"/>
      <c r="E78" s="93"/>
      <c r="F78" s="94"/>
      <c r="G78" s="93"/>
      <c r="H78" s="95"/>
      <c r="I78" s="78"/>
      <c r="J78" s="78"/>
      <c r="K78" s="94"/>
      <c r="L78" s="94"/>
      <c r="M78" s="78"/>
      <c r="N78" s="96"/>
      <c r="O78" s="78"/>
      <c r="P78" s="78"/>
      <c r="Q78" s="97"/>
      <c r="R78" s="231"/>
    </row>
    <row r="79" spans="3:18" ht="24.75" customHeight="1" x14ac:dyDescent="0.25">
      <c r="C79" s="92">
        <v>76</v>
      </c>
      <c r="D79" s="78"/>
      <c r="E79" s="93"/>
      <c r="F79" s="94"/>
      <c r="G79" s="93"/>
      <c r="H79" s="95"/>
      <c r="I79" s="78"/>
      <c r="J79" s="78"/>
      <c r="K79" s="94"/>
      <c r="L79" s="94"/>
      <c r="M79" s="78"/>
      <c r="N79" s="96"/>
      <c r="O79" s="78"/>
      <c r="P79" s="78"/>
      <c r="Q79" s="97"/>
      <c r="R79" s="231"/>
    </row>
    <row r="80" spans="3:18" ht="24.75" customHeight="1" x14ac:dyDescent="0.25">
      <c r="C80" s="92">
        <v>77</v>
      </c>
      <c r="D80" s="78"/>
      <c r="E80" s="93"/>
      <c r="F80" s="94"/>
      <c r="G80" s="93"/>
      <c r="H80" s="95"/>
      <c r="I80" s="78"/>
      <c r="J80" s="78"/>
      <c r="K80" s="94"/>
      <c r="L80" s="94"/>
      <c r="M80" s="78"/>
      <c r="N80" s="96"/>
      <c r="O80" s="78"/>
      <c r="P80" s="78"/>
      <c r="Q80" s="97"/>
      <c r="R80" s="231"/>
    </row>
    <row r="81" spans="3:18" ht="24.75" customHeight="1" x14ac:dyDescent="0.25">
      <c r="C81" s="92">
        <v>78</v>
      </c>
      <c r="D81" s="78"/>
      <c r="E81" s="93"/>
      <c r="F81" s="94"/>
      <c r="G81" s="93"/>
      <c r="H81" s="95"/>
      <c r="I81" s="78"/>
      <c r="J81" s="78"/>
      <c r="K81" s="94"/>
      <c r="L81" s="94"/>
      <c r="M81" s="78"/>
      <c r="N81" s="96"/>
      <c r="O81" s="78"/>
      <c r="P81" s="78"/>
      <c r="Q81" s="97"/>
      <c r="R81" s="231"/>
    </row>
    <row r="82" spans="3:18" ht="24.75" customHeight="1" x14ac:dyDescent="0.25">
      <c r="C82" s="92">
        <v>79</v>
      </c>
      <c r="D82" s="78"/>
      <c r="E82" s="93"/>
      <c r="F82" s="94"/>
      <c r="G82" s="93"/>
      <c r="H82" s="95"/>
      <c r="I82" s="78"/>
      <c r="J82" s="78"/>
      <c r="K82" s="94"/>
      <c r="L82" s="101"/>
      <c r="M82" s="78"/>
      <c r="N82" s="96"/>
      <c r="O82" s="78"/>
      <c r="P82" s="78"/>
      <c r="Q82" s="97"/>
      <c r="R82" s="231"/>
    </row>
    <row r="83" spans="3:18" ht="24.75" customHeight="1" x14ac:dyDescent="0.25">
      <c r="C83" s="92">
        <v>80</v>
      </c>
      <c r="D83" s="78"/>
      <c r="E83" s="93"/>
      <c r="F83" s="94"/>
      <c r="G83" s="93"/>
      <c r="H83" s="95"/>
      <c r="I83" s="78"/>
      <c r="J83" s="78"/>
      <c r="K83" s="94"/>
      <c r="L83" s="94"/>
      <c r="M83" s="78"/>
      <c r="N83" s="96"/>
      <c r="O83" s="78"/>
      <c r="P83" s="78"/>
      <c r="Q83" s="97"/>
      <c r="R83" s="231"/>
    </row>
    <row r="84" spans="3:18" ht="24.75" customHeight="1" x14ac:dyDescent="0.25">
      <c r="C84" s="92">
        <v>81</v>
      </c>
      <c r="D84" s="78"/>
      <c r="E84" s="93"/>
      <c r="F84" s="94"/>
      <c r="G84" s="93"/>
      <c r="H84" s="95"/>
      <c r="I84" s="78"/>
      <c r="J84" s="78"/>
      <c r="K84" s="101"/>
      <c r="L84" s="94"/>
      <c r="M84" s="78"/>
      <c r="N84" s="96"/>
      <c r="O84" s="78"/>
      <c r="P84" s="78"/>
      <c r="Q84" s="97"/>
      <c r="R84" s="231"/>
    </row>
    <row r="85" spans="3:18" ht="24.75" customHeight="1" x14ac:dyDescent="0.25">
      <c r="C85" s="92">
        <v>82</v>
      </c>
      <c r="D85" s="78"/>
      <c r="E85" s="93"/>
      <c r="F85" s="94"/>
      <c r="G85" s="93"/>
      <c r="H85" s="95"/>
      <c r="I85" s="78"/>
      <c r="J85" s="78"/>
      <c r="K85" s="94"/>
      <c r="L85" s="94"/>
      <c r="M85" s="78"/>
      <c r="N85" s="96"/>
      <c r="O85" s="78"/>
      <c r="P85" s="78"/>
      <c r="Q85" s="97"/>
      <c r="R85" s="231"/>
    </row>
    <row r="86" spans="3:18" ht="24.75" customHeight="1" x14ac:dyDescent="0.25">
      <c r="C86" s="92">
        <v>83</v>
      </c>
      <c r="D86" s="78"/>
      <c r="E86" s="93"/>
      <c r="F86" s="94"/>
      <c r="G86" s="93"/>
      <c r="H86" s="95"/>
      <c r="I86" s="78"/>
      <c r="J86" s="78"/>
      <c r="K86" s="94"/>
      <c r="L86" s="94"/>
      <c r="M86" s="78"/>
      <c r="N86" s="96"/>
      <c r="O86" s="78"/>
      <c r="P86" s="78"/>
      <c r="Q86" s="97"/>
      <c r="R86" s="231"/>
    </row>
    <row r="87" spans="3:18" ht="24.75" customHeight="1" x14ac:dyDescent="0.25">
      <c r="C87" s="92">
        <v>84</v>
      </c>
      <c r="D87" s="78"/>
      <c r="E87" s="93"/>
      <c r="F87" s="94"/>
      <c r="G87" s="93"/>
      <c r="H87" s="95"/>
      <c r="I87" s="78"/>
      <c r="J87" s="78"/>
      <c r="K87" s="94"/>
      <c r="L87" s="94"/>
      <c r="M87" s="78"/>
      <c r="N87" s="96"/>
      <c r="O87" s="78"/>
      <c r="P87" s="78"/>
      <c r="Q87" s="97"/>
      <c r="R87" s="231"/>
    </row>
    <row r="88" spans="3:18" ht="24.75" customHeight="1" x14ac:dyDescent="0.25">
      <c r="C88" s="92">
        <v>85</v>
      </c>
      <c r="D88" s="78"/>
      <c r="E88" s="93"/>
      <c r="F88" s="94"/>
      <c r="G88" s="93"/>
      <c r="H88" s="95"/>
      <c r="I88" s="78"/>
      <c r="J88" s="78"/>
      <c r="K88" s="94"/>
      <c r="L88" s="94"/>
      <c r="M88" s="78"/>
      <c r="N88" s="96"/>
      <c r="O88" s="78"/>
      <c r="P88" s="78"/>
      <c r="Q88" s="97"/>
      <c r="R88" s="231"/>
    </row>
    <row r="89" spans="3:18" ht="24.75" customHeight="1" x14ac:dyDescent="0.25">
      <c r="C89" s="92">
        <v>86</v>
      </c>
      <c r="D89" s="78"/>
      <c r="E89" s="93"/>
      <c r="F89" s="94"/>
      <c r="G89" s="93"/>
      <c r="H89" s="95"/>
      <c r="I89" s="78"/>
      <c r="J89" s="78"/>
      <c r="K89" s="94"/>
      <c r="L89" s="94"/>
      <c r="M89" s="78"/>
      <c r="N89" s="96"/>
      <c r="O89" s="78"/>
      <c r="P89" s="78"/>
      <c r="Q89" s="97"/>
      <c r="R89" s="231"/>
    </row>
    <row r="90" spans="3:18" ht="24.75" customHeight="1" x14ac:dyDescent="0.25">
      <c r="C90" s="92">
        <v>87</v>
      </c>
      <c r="D90" s="78"/>
      <c r="E90" s="93"/>
      <c r="F90" s="94"/>
      <c r="G90" s="93"/>
      <c r="H90" s="95"/>
      <c r="I90" s="78"/>
      <c r="J90" s="78"/>
      <c r="K90" s="94"/>
      <c r="L90" s="94"/>
      <c r="M90" s="78"/>
      <c r="N90" s="96"/>
      <c r="O90" s="78"/>
      <c r="P90" s="78"/>
      <c r="Q90" s="97"/>
      <c r="R90" s="231"/>
    </row>
    <row r="91" spans="3:18" ht="24.75" customHeight="1" x14ac:dyDescent="0.25">
      <c r="C91" s="92">
        <v>88</v>
      </c>
      <c r="D91" s="78"/>
      <c r="E91" s="93"/>
      <c r="F91" s="94"/>
      <c r="G91" s="93"/>
      <c r="H91" s="95"/>
      <c r="I91" s="78"/>
      <c r="J91" s="78"/>
      <c r="K91" s="94"/>
      <c r="L91" s="94"/>
      <c r="M91" s="78"/>
      <c r="N91" s="96"/>
      <c r="O91" s="78"/>
      <c r="P91" s="78"/>
      <c r="Q91" s="97"/>
      <c r="R91" s="231"/>
    </row>
    <row r="92" spans="3:18" ht="24.75" customHeight="1" x14ac:dyDescent="0.25">
      <c r="C92" s="92">
        <v>89</v>
      </c>
      <c r="D92" s="78"/>
      <c r="E92" s="93"/>
      <c r="F92" s="94"/>
      <c r="G92" s="93"/>
      <c r="H92" s="95"/>
      <c r="I92" s="78"/>
      <c r="J92" s="78"/>
      <c r="K92" s="94"/>
      <c r="L92" s="94"/>
      <c r="M92" s="78"/>
      <c r="N92" s="96"/>
      <c r="O92" s="78"/>
      <c r="P92" s="78"/>
      <c r="Q92" s="97"/>
      <c r="R92" s="231"/>
    </row>
    <row r="93" spans="3:18" ht="24.75" customHeight="1" x14ac:dyDescent="0.25">
      <c r="C93" s="92">
        <v>90</v>
      </c>
      <c r="D93" s="78"/>
      <c r="E93" s="93"/>
      <c r="F93" s="94"/>
      <c r="G93" s="93"/>
      <c r="H93" s="95"/>
      <c r="I93" s="78"/>
      <c r="J93" s="78"/>
      <c r="K93" s="94"/>
      <c r="L93" s="94"/>
      <c r="M93" s="78"/>
      <c r="N93" s="96"/>
      <c r="O93" s="78"/>
      <c r="P93" s="78"/>
      <c r="Q93" s="97"/>
      <c r="R93" s="231"/>
    </row>
    <row r="94" spans="3:18" ht="24.75" customHeight="1" x14ac:dyDescent="0.25">
      <c r="C94" s="92">
        <v>91</v>
      </c>
      <c r="D94" s="78"/>
      <c r="E94" s="93"/>
      <c r="F94" s="94"/>
      <c r="G94" s="93"/>
      <c r="H94" s="95"/>
      <c r="I94" s="78"/>
      <c r="J94" s="78"/>
      <c r="K94" s="94"/>
      <c r="L94" s="94"/>
      <c r="M94" s="78"/>
      <c r="N94" s="96"/>
      <c r="O94" s="78"/>
      <c r="P94" s="78"/>
      <c r="Q94" s="97"/>
      <c r="R94" s="231"/>
    </row>
    <row r="95" spans="3:18" ht="24.75" customHeight="1" x14ac:dyDescent="0.25">
      <c r="C95" s="92">
        <v>92</v>
      </c>
      <c r="D95" s="78"/>
      <c r="E95" s="93"/>
      <c r="F95" s="94"/>
      <c r="G95" s="93"/>
      <c r="H95" s="95"/>
      <c r="I95" s="78"/>
      <c r="J95" s="78"/>
      <c r="K95" s="94"/>
      <c r="L95" s="94"/>
      <c r="M95" s="78"/>
      <c r="N95" s="96"/>
      <c r="O95" s="78"/>
      <c r="P95" s="78"/>
      <c r="Q95" s="97"/>
      <c r="R95" s="231"/>
    </row>
    <row r="96" spans="3:18" ht="24.75" customHeight="1" x14ac:dyDescent="0.25">
      <c r="C96" s="92">
        <v>93</v>
      </c>
      <c r="D96" s="78"/>
      <c r="E96" s="93"/>
      <c r="F96" s="94"/>
      <c r="G96" s="93"/>
      <c r="H96" s="95"/>
      <c r="I96" s="78"/>
      <c r="J96" s="78"/>
      <c r="K96" s="94"/>
      <c r="L96" s="94"/>
      <c r="M96" s="78"/>
      <c r="N96" s="96"/>
      <c r="O96" s="78"/>
      <c r="P96" s="78"/>
      <c r="Q96" s="97"/>
      <c r="R96" s="231"/>
    </row>
    <row r="97" spans="3:18" ht="24.75" customHeight="1" x14ac:dyDescent="0.25">
      <c r="C97" s="92">
        <v>94</v>
      </c>
      <c r="D97" s="78"/>
      <c r="E97" s="93"/>
      <c r="F97" s="94"/>
      <c r="G97" s="93"/>
      <c r="H97" s="95"/>
      <c r="I97" s="78"/>
      <c r="J97" s="78"/>
      <c r="K97" s="94"/>
      <c r="L97" s="94"/>
      <c r="M97" s="78"/>
      <c r="N97" s="96"/>
      <c r="O97" s="78"/>
      <c r="P97" s="78"/>
      <c r="Q97" s="97"/>
      <c r="R97" s="231"/>
    </row>
    <row r="98" spans="3:18" ht="24.75" customHeight="1" x14ac:dyDescent="0.25">
      <c r="C98" s="92">
        <v>95</v>
      </c>
      <c r="D98" s="78"/>
      <c r="E98" s="93"/>
      <c r="F98" s="94"/>
      <c r="G98" s="93"/>
      <c r="H98" s="95"/>
      <c r="I98" s="78"/>
      <c r="J98" s="78"/>
      <c r="K98" s="94"/>
      <c r="L98" s="94"/>
      <c r="M98" s="78"/>
      <c r="N98" s="96"/>
      <c r="O98" s="78"/>
      <c r="P98" s="78"/>
      <c r="Q98" s="97"/>
      <c r="R98" s="231"/>
    </row>
    <row r="99" spans="3:18" ht="24.75" customHeight="1" x14ac:dyDescent="0.25">
      <c r="C99" s="92">
        <v>96</v>
      </c>
      <c r="D99" s="78"/>
      <c r="E99" s="93"/>
      <c r="F99" s="94"/>
      <c r="G99" s="93"/>
      <c r="H99" s="95"/>
      <c r="I99" s="78"/>
      <c r="J99" s="78"/>
      <c r="K99" s="94"/>
      <c r="L99" s="94"/>
      <c r="M99" s="78"/>
      <c r="N99" s="96"/>
      <c r="O99" s="78"/>
      <c r="P99" s="78"/>
      <c r="Q99" s="97"/>
      <c r="R99" s="231"/>
    </row>
    <row r="100" spans="3:18" ht="24.75" customHeight="1" x14ac:dyDescent="0.25">
      <c r="C100" s="92">
        <v>97</v>
      </c>
      <c r="D100" s="78"/>
      <c r="E100" s="93"/>
      <c r="F100" s="94"/>
      <c r="G100" s="93"/>
      <c r="H100" s="95"/>
      <c r="I100" s="78"/>
      <c r="J100" s="78"/>
      <c r="K100" s="94"/>
      <c r="L100" s="94"/>
      <c r="M100" s="78"/>
      <c r="N100" s="96"/>
      <c r="O100" s="78"/>
      <c r="P100" s="78"/>
      <c r="Q100" s="97"/>
      <c r="R100" s="231"/>
    </row>
    <row r="101" spans="3:18" ht="24.75" customHeight="1" x14ac:dyDescent="0.25">
      <c r="C101" s="92">
        <v>98</v>
      </c>
      <c r="D101" s="78"/>
      <c r="E101" s="93"/>
      <c r="F101" s="94"/>
      <c r="G101" s="93"/>
      <c r="H101" s="95"/>
      <c r="I101" s="78"/>
      <c r="J101" s="78"/>
      <c r="K101" s="94"/>
      <c r="L101" s="94"/>
      <c r="M101" s="78"/>
      <c r="N101" s="96"/>
      <c r="O101" s="78"/>
      <c r="P101" s="78"/>
      <c r="Q101" s="97"/>
      <c r="R101" s="231"/>
    </row>
    <row r="102" spans="3:18" ht="24.75" customHeight="1" x14ac:dyDescent="0.25">
      <c r="C102" s="92">
        <v>99</v>
      </c>
      <c r="D102" s="78"/>
      <c r="E102" s="93"/>
      <c r="F102" s="94"/>
      <c r="G102" s="93"/>
      <c r="H102" s="95"/>
      <c r="I102" s="78"/>
      <c r="J102" s="78"/>
      <c r="K102" s="94"/>
      <c r="L102" s="94"/>
      <c r="M102" s="78"/>
      <c r="N102" s="96"/>
      <c r="O102" s="78"/>
      <c r="P102" s="78"/>
      <c r="Q102" s="97"/>
      <c r="R102" s="231"/>
    </row>
    <row r="103" spans="3:18" ht="24.75" customHeight="1" x14ac:dyDescent="0.25">
      <c r="C103" s="92">
        <v>100</v>
      </c>
      <c r="D103" s="78"/>
      <c r="E103" s="93"/>
      <c r="F103" s="94"/>
      <c r="G103" s="93"/>
      <c r="H103" s="95"/>
      <c r="I103" s="78"/>
      <c r="J103" s="78"/>
      <c r="K103" s="94"/>
      <c r="L103" s="94"/>
      <c r="M103" s="78"/>
      <c r="N103" s="96"/>
      <c r="O103" s="78"/>
      <c r="P103" s="78"/>
      <c r="Q103" s="97"/>
      <c r="R103" s="231"/>
    </row>
    <row r="104" spans="3:18" ht="24.75" customHeight="1" x14ac:dyDescent="0.25">
      <c r="C104" s="92">
        <v>101</v>
      </c>
      <c r="D104" s="78"/>
      <c r="E104" s="93"/>
      <c r="F104" s="94"/>
      <c r="G104" s="93"/>
      <c r="H104" s="95"/>
      <c r="I104" s="78"/>
      <c r="J104" s="78"/>
      <c r="K104" s="94"/>
      <c r="L104" s="94"/>
      <c r="M104" s="78"/>
      <c r="N104" s="96"/>
      <c r="O104" s="78"/>
      <c r="P104" s="78"/>
      <c r="Q104" s="97"/>
      <c r="R104" s="231"/>
    </row>
    <row r="105" spans="3:18" ht="24.75" customHeight="1" x14ac:dyDescent="0.25">
      <c r="C105" s="92">
        <v>102</v>
      </c>
      <c r="D105" s="78"/>
      <c r="E105" s="93"/>
      <c r="F105" s="94"/>
      <c r="G105" s="93"/>
      <c r="H105" s="95"/>
      <c r="I105" s="78"/>
      <c r="J105" s="78"/>
      <c r="K105" s="94"/>
      <c r="L105" s="94"/>
      <c r="M105" s="78"/>
      <c r="N105" s="96"/>
      <c r="O105" s="78"/>
      <c r="P105" s="78"/>
      <c r="Q105" s="97"/>
      <c r="R105" s="231"/>
    </row>
    <row r="106" spans="3:18" ht="24.75" customHeight="1" x14ac:dyDescent="0.25">
      <c r="C106" s="92">
        <v>103</v>
      </c>
      <c r="D106" s="78"/>
      <c r="E106" s="93"/>
      <c r="F106" s="94"/>
      <c r="G106" s="93"/>
      <c r="H106" s="95"/>
      <c r="I106" s="78"/>
      <c r="J106" s="78"/>
      <c r="K106" s="94"/>
      <c r="L106" s="94"/>
      <c r="M106" s="78"/>
      <c r="N106" s="96"/>
      <c r="O106" s="78"/>
      <c r="P106" s="78"/>
      <c r="Q106" s="97"/>
      <c r="R106" s="231"/>
    </row>
    <row r="107" spans="3:18" ht="24.75" customHeight="1" x14ac:dyDescent="0.25">
      <c r="C107" s="92">
        <v>104</v>
      </c>
      <c r="D107" s="78"/>
      <c r="E107" s="93"/>
      <c r="F107" s="94"/>
      <c r="G107" s="93"/>
      <c r="H107" s="95"/>
      <c r="I107" s="78"/>
      <c r="J107" s="78"/>
      <c r="K107" s="94"/>
      <c r="L107" s="94"/>
      <c r="M107" s="78"/>
      <c r="N107" s="96"/>
      <c r="O107" s="78"/>
      <c r="P107" s="78"/>
      <c r="Q107" s="97"/>
      <c r="R107" s="231"/>
    </row>
    <row r="108" spans="3:18" ht="24.75" customHeight="1" x14ac:dyDescent="0.25">
      <c r="C108" s="92">
        <v>105</v>
      </c>
      <c r="D108" s="78"/>
      <c r="E108" s="93"/>
      <c r="F108" s="94"/>
      <c r="G108" s="93"/>
      <c r="H108" s="95"/>
      <c r="I108" s="78"/>
      <c r="J108" s="78"/>
      <c r="K108" s="94"/>
      <c r="L108" s="94"/>
      <c r="M108" s="78"/>
      <c r="N108" s="96"/>
      <c r="O108" s="78"/>
      <c r="P108" s="78"/>
      <c r="Q108" s="97"/>
      <c r="R108" s="231"/>
    </row>
    <row r="109" spans="3:18" ht="24.75" customHeight="1" x14ac:dyDescent="0.25">
      <c r="C109" s="92">
        <v>106</v>
      </c>
      <c r="D109" s="78"/>
      <c r="E109" s="93"/>
      <c r="F109" s="94"/>
      <c r="G109" s="93"/>
      <c r="H109" s="95"/>
      <c r="I109" s="78"/>
      <c r="J109" s="78"/>
      <c r="K109" s="94"/>
      <c r="L109" s="94"/>
      <c r="M109" s="78"/>
      <c r="N109" s="96"/>
      <c r="O109" s="78"/>
      <c r="P109" s="78"/>
      <c r="Q109" s="97"/>
      <c r="R109" s="231"/>
    </row>
    <row r="110" spans="3:18" ht="24.75" customHeight="1" x14ac:dyDescent="0.25">
      <c r="C110" s="92">
        <v>107</v>
      </c>
      <c r="D110" s="78"/>
      <c r="E110" s="93"/>
      <c r="F110" s="94"/>
      <c r="G110" s="93"/>
      <c r="H110" s="95"/>
      <c r="I110" s="78"/>
      <c r="J110" s="78"/>
      <c r="K110" s="94"/>
      <c r="L110" s="94"/>
      <c r="M110" s="78"/>
      <c r="N110" s="96"/>
      <c r="O110" s="78"/>
      <c r="P110" s="78"/>
      <c r="Q110" s="97"/>
      <c r="R110" s="231"/>
    </row>
    <row r="111" spans="3:18" ht="24.75" customHeight="1" x14ac:dyDescent="0.25">
      <c r="C111" s="92">
        <v>108</v>
      </c>
      <c r="D111" s="78"/>
      <c r="E111" s="93"/>
      <c r="F111" s="94"/>
      <c r="G111" s="93"/>
      <c r="H111" s="95"/>
      <c r="I111" s="78"/>
      <c r="J111" s="78"/>
      <c r="K111" s="94"/>
      <c r="L111" s="94"/>
      <c r="M111" s="78"/>
      <c r="N111" s="96"/>
      <c r="O111" s="78"/>
      <c r="P111" s="78"/>
      <c r="Q111" s="97"/>
      <c r="R111" s="231"/>
    </row>
    <row r="112" spans="3:18" ht="24.75" customHeight="1" x14ac:dyDescent="0.25">
      <c r="C112" s="92">
        <v>109</v>
      </c>
      <c r="D112" s="78"/>
      <c r="E112" s="93"/>
      <c r="F112" s="94"/>
      <c r="G112" s="93"/>
      <c r="H112" s="95"/>
      <c r="I112" s="78"/>
      <c r="J112" s="78"/>
      <c r="K112" s="94"/>
      <c r="L112" s="94"/>
      <c r="M112" s="78"/>
      <c r="N112" s="96"/>
      <c r="O112" s="78"/>
      <c r="P112" s="78"/>
      <c r="Q112" s="97"/>
      <c r="R112" s="231"/>
    </row>
    <row r="113" spans="3:18" ht="24.75" customHeight="1" x14ac:dyDescent="0.25">
      <c r="C113" s="92">
        <v>110</v>
      </c>
      <c r="D113" s="78"/>
      <c r="E113" s="93"/>
      <c r="F113" s="94"/>
      <c r="G113" s="93"/>
      <c r="H113" s="95"/>
      <c r="I113" s="78"/>
      <c r="J113" s="78"/>
      <c r="K113" s="94"/>
      <c r="L113" s="94"/>
      <c r="M113" s="78"/>
      <c r="N113" s="96"/>
      <c r="O113" s="78"/>
      <c r="P113" s="78"/>
      <c r="Q113" s="97"/>
      <c r="R113" s="231"/>
    </row>
    <row r="114" spans="3:18" ht="24.75" customHeight="1" x14ac:dyDescent="0.25">
      <c r="C114" s="92">
        <v>111</v>
      </c>
      <c r="D114" s="78"/>
      <c r="E114" s="93"/>
      <c r="F114" s="94"/>
      <c r="G114" s="93"/>
      <c r="H114" s="95"/>
      <c r="I114" s="78"/>
      <c r="J114" s="78"/>
      <c r="K114" s="94"/>
      <c r="L114" s="94"/>
      <c r="M114" s="78"/>
      <c r="N114" s="96"/>
      <c r="O114" s="78"/>
      <c r="P114" s="78"/>
      <c r="Q114" s="97"/>
      <c r="R114" s="231"/>
    </row>
    <row r="115" spans="3:18" ht="24.75" customHeight="1" x14ac:dyDescent="0.25">
      <c r="C115" s="92">
        <v>112</v>
      </c>
      <c r="D115" s="78"/>
      <c r="E115" s="93"/>
      <c r="F115" s="94"/>
      <c r="G115" s="93"/>
      <c r="H115" s="95"/>
      <c r="I115" s="78"/>
      <c r="J115" s="78"/>
      <c r="K115" s="94"/>
      <c r="L115" s="94"/>
      <c r="M115" s="78"/>
      <c r="N115" s="96"/>
      <c r="O115" s="78"/>
      <c r="P115" s="78"/>
      <c r="Q115" s="97"/>
      <c r="R115" s="231"/>
    </row>
    <row r="116" spans="3:18" ht="24.75" customHeight="1" x14ac:dyDescent="0.25">
      <c r="C116" s="92">
        <v>113</v>
      </c>
      <c r="D116" s="78"/>
      <c r="E116" s="93"/>
      <c r="F116" s="94"/>
      <c r="G116" s="93"/>
      <c r="H116" s="95"/>
      <c r="I116" s="78"/>
      <c r="J116" s="78"/>
      <c r="K116" s="94"/>
      <c r="L116" s="94"/>
      <c r="M116" s="78"/>
      <c r="N116" s="96"/>
      <c r="O116" s="78"/>
      <c r="P116" s="78"/>
      <c r="Q116" s="97"/>
      <c r="R116" s="231"/>
    </row>
    <row r="117" spans="3:18" ht="24.75" customHeight="1" x14ac:dyDescent="0.25">
      <c r="C117" s="92">
        <v>114</v>
      </c>
      <c r="D117" s="78"/>
      <c r="E117" s="93"/>
      <c r="F117" s="94"/>
      <c r="G117" s="93"/>
      <c r="H117" s="95"/>
      <c r="I117" s="78"/>
      <c r="J117" s="78"/>
      <c r="K117" s="94"/>
      <c r="L117" s="94"/>
      <c r="M117" s="78"/>
      <c r="N117" s="96"/>
      <c r="O117" s="78"/>
      <c r="P117" s="78"/>
      <c r="Q117" s="97"/>
      <c r="R117" s="231"/>
    </row>
    <row r="118" spans="3:18" ht="24.75" customHeight="1" x14ac:dyDescent="0.25">
      <c r="C118" s="92">
        <v>115</v>
      </c>
      <c r="D118" s="78"/>
      <c r="E118" s="93"/>
      <c r="F118" s="94"/>
      <c r="G118" s="93"/>
      <c r="H118" s="95"/>
      <c r="I118" s="78"/>
      <c r="J118" s="78"/>
      <c r="K118" s="94"/>
      <c r="L118" s="94"/>
      <c r="M118" s="78"/>
      <c r="N118" s="96"/>
      <c r="O118" s="78"/>
      <c r="P118" s="78"/>
      <c r="Q118" s="97"/>
      <c r="R118" s="231"/>
    </row>
    <row r="119" spans="3:18" ht="24.75" customHeight="1" x14ac:dyDescent="0.25">
      <c r="C119" s="92">
        <v>116</v>
      </c>
      <c r="D119" s="78"/>
      <c r="E119" s="93"/>
      <c r="F119" s="94"/>
      <c r="G119" s="93"/>
      <c r="H119" s="95"/>
      <c r="I119" s="78"/>
      <c r="J119" s="78"/>
      <c r="K119" s="94"/>
      <c r="L119" s="94"/>
      <c r="M119" s="78"/>
      <c r="N119" s="96"/>
      <c r="O119" s="78"/>
      <c r="P119" s="78"/>
      <c r="Q119" s="97"/>
      <c r="R119" s="231"/>
    </row>
    <row r="120" spans="3:18" ht="24.75" customHeight="1" x14ac:dyDescent="0.25">
      <c r="C120" s="92">
        <v>117</v>
      </c>
      <c r="D120" s="78"/>
      <c r="E120" s="93"/>
      <c r="F120" s="94"/>
      <c r="G120" s="93"/>
      <c r="H120" s="95"/>
      <c r="I120" s="78"/>
      <c r="J120" s="78"/>
      <c r="K120" s="94"/>
      <c r="L120" s="94"/>
      <c r="M120" s="78"/>
      <c r="N120" s="96"/>
      <c r="O120" s="78"/>
      <c r="P120" s="78"/>
      <c r="Q120" s="97"/>
      <c r="R120" s="231"/>
    </row>
    <row r="121" spans="3:18" ht="24.75" customHeight="1" x14ac:dyDescent="0.25">
      <c r="C121" s="92">
        <v>118</v>
      </c>
      <c r="D121" s="78"/>
      <c r="E121" s="93"/>
      <c r="F121" s="94"/>
      <c r="G121" s="93"/>
      <c r="H121" s="95"/>
      <c r="I121" s="78"/>
      <c r="J121" s="78"/>
      <c r="K121" s="94"/>
      <c r="L121" s="94"/>
      <c r="M121" s="78"/>
      <c r="N121" s="96"/>
      <c r="O121" s="78"/>
      <c r="P121" s="78"/>
      <c r="Q121" s="97"/>
      <c r="R121" s="231"/>
    </row>
    <row r="122" spans="3:18" ht="24.75" customHeight="1" x14ac:dyDescent="0.25">
      <c r="C122" s="92">
        <v>119</v>
      </c>
      <c r="D122" s="78"/>
      <c r="E122" s="93"/>
      <c r="F122" s="94"/>
      <c r="G122" s="93"/>
      <c r="H122" s="95"/>
      <c r="I122" s="78"/>
      <c r="J122" s="78"/>
      <c r="K122" s="94"/>
      <c r="L122" s="94"/>
      <c r="M122" s="78"/>
      <c r="N122" s="96"/>
      <c r="O122" s="78"/>
      <c r="P122" s="78"/>
      <c r="Q122" s="97"/>
      <c r="R122" s="231"/>
    </row>
    <row r="123" spans="3:18" ht="24.75" customHeight="1" x14ac:dyDescent="0.25">
      <c r="C123" s="92">
        <v>120</v>
      </c>
      <c r="D123" s="78"/>
      <c r="E123" s="93"/>
      <c r="F123" s="94"/>
      <c r="G123" s="93"/>
      <c r="H123" s="95"/>
      <c r="I123" s="78"/>
      <c r="J123" s="78"/>
      <c r="K123" s="94"/>
      <c r="L123" s="94"/>
      <c r="M123" s="78"/>
      <c r="N123" s="96"/>
      <c r="O123" s="78"/>
      <c r="P123" s="78"/>
      <c r="Q123" s="97"/>
      <c r="R123" s="231"/>
    </row>
    <row r="124" spans="3:18" ht="24.75" customHeight="1" x14ac:dyDescent="0.25">
      <c r="C124" s="92">
        <v>121</v>
      </c>
      <c r="D124" s="78"/>
      <c r="E124" s="93"/>
      <c r="F124" s="94"/>
      <c r="G124" s="93"/>
      <c r="H124" s="95"/>
      <c r="I124" s="78"/>
      <c r="J124" s="78"/>
      <c r="K124" s="94"/>
      <c r="L124" s="94"/>
      <c r="M124" s="78"/>
      <c r="N124" s="96"/>
      <c r="O124" s="78"/>
      <c r="P124" s="78"/>
      <c r="Q124" s="97"/>
      <c r="R124" s="231"/>
    </row>
    <row r="125" spans="3:18" ht="24.75" customHeight="1" x14ac:dyDescent="0.25">
      <c r="C125" s="92">
        <v>122</v>
      </c>
      <c r="D125" s="78"/>
      <c r="E125" s="93"/>
      <c r="F125" s="94"/>
      <c r="G125" s="93"/>
      <c r="H125" s="95"/>
      <c r="I125" s="78"/>
      <c r="J125" s="78"/>
      <c r="K125" s="94"/>
      <c r="L125" s="94"/>
      <c r="M125" s="78"/>
      <c r="N125" s="96"/>
      <c r="O125" s="78"/>
      <c r="P125" s="78"/>
      <c r="Q125" s="97"/>
      <c r="R125" s="231"/>
    </row>
    <row r="126" spans="3:18" ht="24.75" customHeight="1" x14ac:dyDescent="0.25">
      <c r="C126" s="92">
        <v>123</v>
      </c>
      <c r="D126" s="78"/>
      <c r="E126" s="93"/>
      <c r="F126" s="94"/>
      <c r="G126" s="93"/>
      <c r="H126" s="95"/>
      <c r="I126" s="78"/>
      <c r="J126" s="78"/>
      <c r="K126" s="94"/>
      <c r="L126" s="94"/>
      <c r="M126" s="78"/>
      <c r="N126" s="96"/>
      <c r="O126" s="78"/>
      <c r="P126" s="78"/>
      <c r="Q126" s="97"/>
      <c r="R126" s="231"/>
    </row>
    <row r="127" spans="3:18" ht="24.75" customHeight="1" x14ac:dyDescent="0.25">
      <c r="C127" s="92">
        <v>124</v>
      </c>
      <c r="D127" s="78"/>
      <c r="E127" s="93"/>
      <c r="F127" s="94"/>
      <c r="G127" s="93"/>
      <c r="H127" s="95"/>
      <c r="I127" s="78"/>
      <c r="J127" s="78"/>
      <c r="K127" s="94"/>
      <c r="L127" s="94"/>
      <c r="M127" s="78"/>
      <c r="N127" s="96"/>
      <c r="O127" s="78"/>
      <c r="P127" s="78"/>
      <c r="Q127" s="97"/>
      <c r="R127" s="231"/>
    </row>
    <row r="128" spans="3:18" ht="24.75" customHeight="1" x14ac:dyDescent="0.25">
      <c r="C128" s="92">
        <v>125</v>
      </c>
      <c r="D128" s="78"/>
      <c r="E128" s="93"/>
      <c r="F128" s="94"/>
      <c r="G128" s="93"/>
      <c r="H128" s="95"/>
      <c r="I128" s="78"/>
      <c r="J128" s="78"/>
      <c r="K128" s="94"/>
      <c r="L128" s="94"/>
      <c r="M128" s="78"/>
      <c r="N128" s="96"/>
      <c r="O128" s="78"/>
      <c r="P128" s="78"/>
      <c r="Q128" s="97"/>
      <c r="R128" s="231"/>
    </row>
    <row r="129" spans="3:18" ht="24.75" customHeight="1" x14ac:dyDescent="0.25">
      <c r="C129" s="92">
        <v>126</v>
      </c>
      <c r="D129" s="78"/>
      <c r="E129" s="93"/>
      <c r="F129" s="94"/>
      <c r="G129" s="93"/>
      <c r="H129" s="95"/>
      <c r="I129" s="78"/>
      <c r="J129" s="78"/>
      <c r="K129" s="94"/>
      <c r="L129" s="94"/>
      <c r="M129" s="78"/>
      <c r="N129" s="96"/>
      <c r="O129" s="78"/>
      <c r="P129" s="78"/>
      <c r="Q129" s="97"/>
      <c r="R129" s="231"/>
    </row>
    <row r="130" spans="3:18" ht="24.75" customHeight="1" x14ac:dyDescent="0.25">
      <c r="C130" s="92">
        <v>127</v>
      </c>
      <c r="D130" s="78"/>
      <c r="E130" s="93"/>
      <c r="F130" s="94"/>
      <c r="G130" s="93"/>
      <c r="H130" s="95"/>
      <c r="I130" s="78"/>
      <c r="J130" s="78"/>
      <c r="K130" s="94"/>
      <c r="L130" s="94"/>
      <c r="M130" s="78"/>
      <c r="N130" s="96"/>
      <c r="O130" s="78"/>
      <c r="P130" s="78"/>
      <c r="Q130" s="97"/>
      <c r="R130" s="231"/>
    </row>
    <row r="131" spans="3:18" ht="24.75" customHeight="1" x14ac:dyDescent="0.25">
      <c r="C131" s="92">
        <v>128</v>
      </c>
      <c r="D131" s="78"/>
      <c r="E131" s="93"/>
      <c r="F131" s="94"/>
      <c r="G131" s="93"/>
      <c r="H131" s="95"/>
      <c r="I131" s="78"/>
      <c r="J131" s="78"/>
      <c r="K131" s="94"/>
      <c r="L131" s="94"/>
      <c r="M131" s="78"/>
      <c r="N131" s="96"/>
      <c r="O131" s="78"/>
      <c r="P131" s="78"/>
      <c r="Q131" s="97"/>
      <c r="R131" s="231"/>
    </row>
    <row r="132" spans="3:18" ht="24.75" customHeight="1" x14ac:dyDescent="0.25">
      <c r="C132" s="92">
        <v>129</v>
      </c>
      <c r="D132" s="78"/>
      <c r="E132" s="93"/>
      <c r="F132" s="94"/>
      <c r="G132" s="93"/>
      <c r="H132" s="95"/>
      <c r="I132" s="78"/>
      <c r="J132" s="78"/>
      <c r="K132" s="94"/>
      <c r="L132" s="94"/>
      <c r="M132" s="78"/>
      <c r="N132" s="96"/>
      <c r="O132" s="78"/>
      <c r="P132" s="78"/>
      <c r="Q132" s="97"/>
      <c r="R132" s="231"/>
    </row>
    <row r="133" spans="3:18" ht="24.75" customHeight="1" x14ac:dyDescent="0.25">
      <c r="C133" s="92">
        <v>130</v>
      </c>
      <c r="D133" s="78"/>
      <c r="E133" s="93"/>
      <c r="F133" s="94"/>
      <c r="G133" s="93"/>
      <c r="H133" s="95"/>
      <c r="I133" s="78"/>
      <c r="J133" s="78"/>
      <c r="K133" s="94"/>
      <c r="L133" s="94"/>
      <c r="M133" s="78"/>
      <c r="N133" s="96"/>
      <c r="O133" s="78"/>
      <c r="P133" s="78"/>
      <c r="Q133" s="97"/>
      <c r="R133" s="231"/>
    </row>
    <row r="134" spans="3:18" ht="24.75" customHeight="1" x14ac:dyDescent="0.25">
      <c r="C134" s="92">
        <v>131</v>
      </c>
      <c r="D134" s="78"/>
      <c r="E134" s="93"/>
      <c r="F134" s="94"/>
      <c r="G134" s="93"/>
      <c r="H134" s="95"/>
      <c r="I134" s="78"/>
      <c r="J134" s="78"/>
      <c r="K134" s="94"/>
      <c r="L134" s="94"/>
      <c r="M134" s="78"/>
      <c r="N134" s="96"/>
      <c r="O134" s="78"/>
      <c r="P134" s="78"/>
      <c r="Q134" s="97"/>
      <c r="R134" s="231"/>
    </row>
    <row r="135" spans="3:18" ht="24.75" customHeight="1" x14ac:dyDescent="0.25">
      <c r="C135" s="92">
        <v>132</v>
      </c>
      <c r="D135" s="78"/>
      <c r="E135" s="93"/>
      <c r="F135" s="94"/>
      <c r="G135" s="93"/>
      <c r="H135" s="95"/>
      <c r="I135" s="78"/>
      <c r="J135" s="78"/>
      <c r="K135" s="94"/>
      <c r="L135" s="94"/>
      <c r="M135" s="78"/>
      <c r="N135" s="96"/>
      <c r="O135" s="78"/>
      <c r="P135" s="78"/>
      <c r="Q135" s="97"/>
      <c r="R135" s="231"/>
    </row>
    <row r="136" spans="3:18" ht="24.75" customHeight="1" x14ac:dyDescent="0.25">
      <c r="C136" s="92">
        <v>133</v>
      </c>
      <c r="D136" s="78"/>
      <c r="E136" s="93"/>
      <c r="F136" s="94"/>
      <c r="G136" s="93"/>
      <c r="H136" s="95"/>
      <c r="I136" s="78"/>
      <c r="J136" s="78"/>
      <c r="K136" s="94"/>
      <c r="L136" s="94"/>
      <c r="M136" s="78"/>
      <c r="N136" s="96"/>
      <c r="O136" s="78"/>
      <c r="P136" s="78"/>
      <c r="Q136" s="97"/>
      <c r="R136" s="231"/>
    </row>
    <row r="137" spans="3:18" ht="24.75" customHeight="1" x14ac:dyDescent="0.25">
      <c r="C137" s="92">
        <v>134</v>
      </c>
      <c r="D137" s="78"/>
      <c r="E137" s="93"/>
      <c r="F137" s="94"/>
      <c r="G137" s="93"/>
      <c r="H137" s="95"/>
      <c r="I137" s="78"/>
      <c r="J137" s="78"/>
      <c r="K137" s="94"/>
      <c r="L137" s="94"/>
      <c r="M137" s="78"/>
      <c r="N137" s="96"/>
      <c r="O137" s="78"/>
      <c r="P137" s="78"/>
      <c r="Q137" s="97"/>
      <c r="R137" s="231"/>
    </row>
    <row r="138" spans="3:18" ht="24.75" customHeight="1" x14ac:dyDescent="0.25">
      <c r="C138" s="92">
        <v>135</v>
      </c>
      <c r="D138" s="78"/>
      <c r="E138" s="93"/>
      <c r="F138" s="94"/>
      <c r="G138" s="93"/>
      <c r="H138" s="95"/>
      <c r="I138" s="78"/>
      <c r="J138" s="78"/>
      <c r="K138" s="94"/>
      <c r="L138" s="94"/>
      <c r="M138" s="78"/>
      <c r="N138" s="96"/>
      <c r="O138" s="78"/>
      <c r="P138" s="78"/>
      <c r="Q138" s="97"/>
      <c r="R138" s="231"/>
    </row>
    <row r="139" spans="3:18" ht="24.75" customHeight="1" x14ac:dyDescent="0.25">
      <c r="C139" s="92">
        <v>136</v>
      </c>
      <c r="D139" s="78"/>
      <c r="E139" s="93"/>
      <c r="F139" s="94"/>
      <c r="G139" s="93"/>
      <c r="H139" s="95"/>
      <c r="I139" s="78"/>
      <c r="J139" s="78"/>
      <c r="K139" s="94"/>
      <c r="L139" s="94"/>
      <c r="M139" s="78"/>
      <c r="N139" s="96"/>
      <c r="O139" s="78"/>
      <c r="P139" s="78"/>
      <c r="Q139" s="97"/>
      <c r="R139" s="231"/>
    </row>
    <row r="140" spans="3:18" ht="24.75" customHeight="1" x14ac:dyDescent="0.25">
      <c r="C140" s="92">
        <v>137</v>
      </c>
      <c r="D140" s="78"/>
      <c r="E140" s="93"/>
      <c r="F140" s="94"/>
      <c r="G140" s="93"/>
      <c r="H140" s="95"/>
      <c r="I140" s="78"/>
      <c r="J140" s="78"/>
      <c r="K140" s="94"/>
      <c r="L140" s="94"/>
      <c r="M140" s="78"/>
      <c r="N140" s="96"/>
      <c r="O140" s="78"/>
      <c r="P140" s="78"/>
      <c r="Q140" s="97"/>
      <c r="R140" s="231"/>
    </row>
    <row r="141" spans="3:18" ht="24.75" customHeight="1" x14ac:dyDescent="0.25">
      <c r="C141" s="92">
        <v>138</v>
      </c>
      <c r="D141" s="78"/>
      <c r="E141" s="93"/>
      <c r="F141" s="94"/>
      <c r="G141" s="93"/>
      <c r="H141" s="95"/>
      <c r="I141" s="78"/>
      <c r="J141" s="78"/>
      <c r="K141" s="94"/>
      <c r="L141" s="94"/>
      <c r="M141" s="78"/>
      <c r="N141" s="96"/>
      <c r="O141" s="78"/>
      <c r="P141" s="78"/>
      <c r="Q141" s="97"/>
      <c r="R141" s="231"/>
    </row>
    <row r="142" spans="3:18" ht="24.75" customHeight="1" x14ac:dyDescent="0.25">
      <c r="C142" s="92">
        <v>139</v>
      </c>
      <c r="D142" s="78"/>
      <c r="E142" s="93"/>
      <c r="F142" s="94"/>
      <c r="G142" s="93"/>
      <c r="H142" s="95"/>
      <c r="I142" s="78"/>
      <c r="J142" s="78"/>
      <c r="K142" s="94"/>
      <c r="L142" s="94"/>
      <c r="M142" s="78"/>
      <c r="N142" s="96"/>
      <c r="O142" s="78"/>
      <c r="P142" s="78"/>
      <c r="Q142" s="97"/>
      <c r="R142" s="231"/>
    </row>
    <row r="143" spans="3:18" ht="24.75" customHeight="1" x14ac:dyDescent="0.25">
      <c r="C143" s="92">
        <v>140</v>
      </c>
      <c r="D143" s="78"/>
      <c r="E143" s="93"/>
      <c r="F143" s="94"/>
      <c r="G143" s="93"/>
      <c r="H143" s="95"/>
      <c r="I143" s="78"/>
      <c r="J143" s="78"/>
      <c r="K143" s="94"/>
      <c r="L143" s="94"/>
      <c r="M143" s="78"/>
      <c r="N143" s="96"/>
      <c r="O143" s="78"/>
      <c r="P143" s="78"/>
      <c r="Q143" s="97"/>
      <c r="R143" s="231"/>
    </row>
    <row r="144" spans="3:18" ht="24.75" customHeight="1" x14ac:dyDescent="0.25">
      <c r="C144" s="92">
        <v>141</v>
      </c>
      <c r="D144" s="78"/>
      <c r="E144" s="93"/>
      <c r="F144" s="94"/>
      <c r="G144" s="93"/>
      <c r="H144" s="95"/>
      <c r="I144" s="78"/>
      <c r="J144" s="78"/>
      <c r="K144" s="94"/>
      <c r="L144" s="94"/>
      <c r="M144" s="78"/>
      <c r="N144" s="96"/>
      <c r="O144" s="78"/>
      <c r="P144" s="78"/>
      <c r="Q144" s="97"/>
      <c r="R144" s="231"/>
    </row>
    <row r="145" spans="3:18" ht="24.75" customHeight="1" x14ac:dyDescent="0.25">
      <c r="C145" s="92">
        <v>142</v>
      </c>
      <c r="D145" s="78"/>
      <c r="E145" s="93"/>
      <c r="F145" s="94"/>
      <c r="G145" s="93"/>
      <c r="H145" s="95"/>
      <c r="I145" s="78"/>
      <c r="J145" s="78"/>
      <c r="K145" s="94"/>
      <c r="L145" s="94"/>
      <c r="M145" s="78"/>
      <c r="N145" s="96"/>
      <c r="O145" s="78"/>
      <c r="P145" s="78"/>
      <c r="Q145" s="97"/>
      <c r="R145" s="231"/>
    </row>
    <row r="146" spans="3:18" ht="24.75" customHeight="1" x14ac:dyDescent="0.25">
      <c r="C146" s="92">
        <v>143</v>
      </c>
      <c r="D146" s="78"/>
      <c r="E146" s="93"/>
      <c r="F146" s="94"/>
      <c r="G146" s="93"/>
      <c r="H146" s="95"/>
      <c r="I146" s="78"/>
      <c r="J146" s="78"/>
      <c r="K146" s="94"/>
      <c r="L146" s="94"/>
      <c r="M146" s="78"/>
      <c r="N146" s="96"/>
      <c r="O146" s="78"/>
      <c r="P146" s="78"/>
      <c r="Q146" s="97"/>
      <c r="R146" s="231"/>
    </row>
    <row r="147" spans="3:18" ht="24.75" customHeight="1" x14ac:dyDescent="0.25">
      <c r="C147" s="92">
        <v>144</v>
      </c>
      <c r="D147" s="78"/>
      <c r="E147" s="93"/>
      <c r="F147" s="94"/>
      <c r="G147" s="93"/>
      <c r="H147" s="95"/>
      <c r="I147" s="78"/>
      <c r="J147" s="78"/>
      <c r="K147" s="94"/>
      <c r="L147" s="94"/>
      <c r="M147" s="78"/>
      <c r="N147" s="96"/>
      <c r="O147" s="78"/>
      <c r="P147" s="78"/>
      <c r="Q147" s="97"/>
      <c r="R147" s="231"/>
    </row>
    <row r="148" spans="3:18" ht="24.75" customHeight="1" x14ac:dyDescent="0.25">
      <c r="C148" s="92">
        <v>145</v>
      </c>
      <c r="D148" s="78"/>
      <c r="E148" s="93"/>
      <c r="F148" s="94"/>
      <c r="G148" s="93"/>
      <c r="H148" s="95"/>
      <c r="I148" s="78"/>
      <c r="J148" s="78"/>
      <c r="K148" s="94"/>
      <c r="L148" s="94"/>
      <c r="M148" s="78"/>
      <c r="N148" s="96"/>
      <c r="O148" s="78"/>
      <c r="P148" s="78"/>
      <c r="Q148" s="97"/>
      <c r="R148" s="231"/>
    </row>
    <row r="149" spans="3:18" ht="24.75" customHeight="1" x14ac:dyDescent="0.25">
      <c r="C149" s="92">
        <v>146</v>
      </c>
      <c r="D149" s="78"/>
      <c r="E149" s="93"/>
      <c r="F149" s="94"/>
      <c r="G149" s="93"/>
      <c r="H149" s="95"/>
      <c r="I149" s="78"/>
      <c r="J149" s="78"/>
      <c r="K149" s="94"/>
      <c r="L149" s="94"/>
      <c r="M149" s="78"/>
      <c r="N149" s="96"/>
      <c r="O149" s="78"/>
      <c r="P149" s="78"/>
      <c r="Q149" s="97"/>
      <c r="R149" s="231"/>
    </row>
    <row r="150" spans="3:18" ht="24.75" customHeight="1" x14ac:dyDescent="0.25">
      <c r="C150" s="92">
        <v>147</v>
      </c>
      <c r="D150" s="78"/>
      <c r="E150" s="93"/>
      <c r="F150" s="94"/>
      <c r="G150" s="93"/>
      <c r="H150" s="95"/>
      <c r="I150" s="78"/>
      <c r="J150" s="78"/>
      <c r="K150" s="94"/>
      <c r="L150" s="94"/>
      <c r="M150" s="78"/>
      <c r="N150" s="96"/>
      <c r="O150" s="78"/>
      <c r="P150" s="78"/>
      <c r="Q150" s="97"/>
      <c r="R150" s="231"/>
    </row>
    <row r="151" spans="3:18" ht="24.75" customHeight="1" x14ac:dyDescent="0.25">
      <c r="C151" s="92">
        <v>148</v>
      </c>
      <c r="D151" s="78"/>
      <c r="E151" s="93"/>
      <c r="F151" s="94"/>
      <c r="G151" s="93"/>
      <c r="H151" s="95"/>
      <c r="I151" s="78"/>
      <c r="J151" s="78"/>
      <c r="K151" s="94"/>
      <c r="L151" s="94"/>
      <c r="M151" s="78"/>
      <c r="N151" s="96"/>
      <c r="O151" s="78"/>
      <c r="P151" s="78"/>
      <c r="Q151" s="97"/>
      <c r="R151" s="231"/>
    </row>
    <row r="152" spans="3:18" ht="24.75" customHeight="1" x14ac:dyDescent="0.25">
      <c r="C152" s="92">
        <v>149</v>
      </c>
      <c r="D152" s="78"/>
      <c r="E152" s="93"/>
      <c r="F152" s="94"/>
      <c r="G152" s="93"/>
      <c r="H152" s="95"/>
      <c r="I152" s="78"/>
      <c r="J152" s="78"/>
      <c r="K152" s="94"/>
      <c r="L152" s="94"/>
      <c r="M152" s="78"/>
      <c r="N152" s="96"/>
      <c r="O152" s="78"/>
      <c r="P152" s="78"/>
      <c r="Q152" s="97"/>
      <c r="R152" s="231"/>
    </row>
    <row r="153" spans="3:18" ht="24.75" customHeight="1" x14ac:dyDescent="0.25">
      <c r="C153" s="92">
        <v>150</v>
      </c>
      <c r="D153" s="78"/>
      <c r="E153" s="93"/>
      <c r="F153" s="94"/>
      <c r="G153" s="93"/>
      <c r="H153" s="95"/>
      <c r="I153" s="78"/>
      <c r="J153" s="78"/>
      <c r="K153" s="94"/>
      <c r="L153" s="94"/>
      <c r="M153" s="78"/>
      <c r="N153" s="96"/>
      <c r="O153" s="78"/>
      <c r="P153" s="78"/>
      <c r="Q153" s="97"/>
      <c r="R153" s="231"/>
    </row>
    <row r="154" spans="3:18" ht="24.75" customHeight="1" x14ac:dyDescent="0.25">
      <c r="C154" s="92">
        <v>151</v>
      </c>
      <c r="D154" s="78"/>
      <c r="E154" s="93"/>
      <c r="F154" s="94"/>
      <c r="G154" s="93"/>
      <c r="H154" s="95"/>
      <c r="I154" s="78"/>
      <c r="J154" s="78"/>
      <c r="K154" s="94"/>
      <c r="L154" s="94"/>
      <c r="M154" s="78"/>
      <c r="N154" s="96"/>
      <c r="O154" s="78"/>
      <c r="P154" s="78"/>
      <c r="Q154" s="97"/>
      <c r="R154" s="231"/>
    </row>
    <row r="155" spans="3:18" ht="24.75" customHeight="1" x14ac:dyDescent="0.25">
      <c r="C155" s="92">
        <v>152</v>
      </c>
      <c r="D155" s="78"/>
      <c r="E155" s="93"/>
      <c r="F155" s="94"/>
      <c r="G155" s="93"/>
      <c r="H155" s="95"/>
      <c r="I155" s="78"/>
      <c r="J155" s="78"/>
      <c r="K155" s="94"/>
      <c r="L155" s="94"/>
      <c r="M155" s="78"/>
      <c r="N155" s="96"/>
      <c r="O155" s="78"/>
      <c r="P155" s="78"/>
      <c r="Q155" s="97"/>
      <c r="R155" s="231"/>
    </row>
    <row r="156" spans="3:18" ht="24.75" customHeight="1" x14ac:dyDescent="0.25">
      <c r="C156" s="92">
        <v>153</v>
      </c>
      <c r="D156" s="78"/>
      <c r="E156" s="93"/>
      <c r="F156" s="94"/>
      <c r="G156" s="93"/>
      <c r="H156" s="95"/>
      <c r="I156" s="78"/>
      <c r="J156" s="78"/>
      <c r="K156" s="94"/>
      <c r="L156" s="94"/>
      <c r="M156" s="78"/>
      <c r="N156" s="96"/>
      <c r="O156" s="78"/>
      <c r="P156" s="78"/>
      <c r="Q156" s="97"/>
      <c r="R156" s="231"/>
    </row>
    <row r="157" spans="3:18" ht="24.75" customHeight="1" x14ac:dyDescent="0.25">
      <c r="C157" s="92">
        <v>154</v>
      </c>
      <c r="D157" s="78"/>
      <c r="E157" s="93"/>
      <c r="F157" s="94"/>
      <c r="G157" s="93"/>
      <c r="H157" s="95"/>
      <c r="I157" s="78"/>
      <c r="J157" s="78"/>
      <c r="K157" s="94"/>
      <c r="L157" s="94"/>
      <c r="M157" s="78"/>
      <c r="N157" s="96"/>
      <c r="O157" s="78"/>
      <c r="P157" s="78"/>
      <c r="Q157" s="97"/>
      <c r="R157" s="231"/>
    </row>
    <row r="158" spans="3:18" ht="24.75" customHeight="1" x14ac:dyDescent="0.25">
      <c r="C158" s="92">
        <v>155</v>
      </c>
      <c r="D158" s="78"/>
      <c r="E158" s="93"/>
      <c r="F158" s="94"/>
      <c r="G158" s="93"/>
      <c r="H158" s="95"/>
      <c r="I158" s="78"/>
      <c r="J158" s="78"/>
      <c r="K158" s="94"/>
      <c r="L158" s="94"/>
      <c r="M158" s="78"/>
      <c r="N158" s="96"/>
      <c r="O158" s="78"/>
      <c r="P158" s="78"/>
      <c r="Q158" s="97"/>
      <c r="R158" s="231"/>
    </row>
    <row r="159" spans="3:18" ht="24.75" customHeight="1" x14ac:dyDescent="0.25">
      <c r="C159" s="92">
        <v>156</v>
      </c>
      <c r="D159" s="78"/>
      <c r="E159" s="93"/>
      <c r="F159" s="94"/>
      <c r="G159" s="93"/>
      <c r="H159" s="95"/>
      <c r="I159" s="78"/>
      <c r="J159" s="78"/>
      <c r="K159" s="94"/>
      <c r="L159" s="94"/>
      <c r="M159" s="78"/>
      <c r="N159" s="96"/>
      <c r="O159" s="78"/>
      <c r="P159" s="78"/>
      <c r="Q159" s="97"/>
      <c r="R159" s="231"/>
    </row>
    <row r="160" spans="3:18" ht="24.75" customHeight="1" x14ac:dyDescent="0.25">
      <c r="C160" s="92">
        <v>157</v>
      </c>
      <c r="D160" s="78"/>
      <c r="E160" s="93"/>
      <c r="F160" s="94"/>
      <c r="G160" s="93"/>
      <c r="H160" s="95"/>
      <c r="I160" s="78"/>
      <c r="J160" s="78"/>
      <c r="K160" s="94"/>
      <c r="L160" s="94"/>
      <c r="M160" s="78"/>
      <c r="N160" s="96"/>
      <c r="O160" s="78"/>
      <c r="P160" s="78"/>
      <c r="Q160" s="97"/>
      <c r="R160" s="231"/>
    </row>
    <row r="161" spans="3:18" ht="24.75" customHeight="1" x14ac:dyDescent="0.25">
      <c r="C161" s="92">
        <v>158</v>
      </c>
      <c r="D161" s="78"/>
      <c r="E161" s="93"/>
      <c r="F161" s="94"/>
      <c r="G161" s="93"/>
      <c r="H161" s="95"/>
      <c r="I161" s="78"/>
      <c r="J161" s="78"/>
      <c r="K161" s="94"/>
      <c r="L161" s="94"/>
      <c r="M161" s="78"/>
      <c r="N161" s="96"/>
      <c r="O161" s="78"/>
      <c r="P161" s="78"/>
      <c r="Q161" s="97"/>
      <c r="R161" s="231"/>
    </row>
    <row r="162" spans="3:18" ht="24.75" customHeight="1" x14ac:dyDescent="0.25">
      <c r="C162" s="92">
        <v>159</v>
      </c>
      <c r="D162" s="78"/>
      <c r="E162" s="93"/>
      <c r="F162" s="94"/>
      <c r="G162" s="93"/>
      <c r="H162" s="95"/>
      <c r="I162" s="78"/>
      <c r="J162" s="78"/>
      <c r="K162" s="94"/>
      <c r="L162" s="94"/>
      <c r="M162" s="78"/>
      <c r="N162" s="96"/>
      <c r="O162" s="78"/>
      <c r="P162" s="78"/>
      <c r="Q162" s="97"/>
      <c r="R162" s="231"/>
    </row>
    <row r="163" spans="3:18" ht="24.75" customHeight="1" x14ac:dyDescent="0.25">
      <c r="C163" s="92">
        <v>160</v>
      </c>
      <c r="D163" s="78"/>
      <c r="E163" s="93"/>
      <c r="F163" s="94"/>
      <c r="G163" s="93"/>
      <c r="H163" s="95"/>
      <c r="I163" s="78"/>
      <c r="J163" s="78"/>
      <c r="K163" s="94"/>
      <c r="L163" s="94"/>
      <c r="M163" s="78"/>
      <c r="N163" s="96"/>
      <c r="O163" s="78"/>
      <c r="P163" s="78"/>
      <c r="Q163" s="97"/>
      <c r="R163" s="231"/>
    </row>
    <row r="164" spans="3:18" ht="24.75" customHeight="1" x14ac:dyDescent="0.25">
      <c r="C164" s="92">
        <v>161</v>
      </c>
      <c r="D164" s="78"/>
      <c r="E164" s="93"/>
      <c r="F164" s="94"/>
      <c r="G164" s="93"/>
      <c r="H164" s="95"/>
      <c r="I164" s="78"/>
      <c r="J164" s="78"/>
      <c r="K164" s="94"/>
      <c r="L164" s="94"/>
      <c r="M164" s="78"/>
      <c r="N164" s="96"/>
      <c r="O164" s="78"/>
      <c r="P164" s="78"/>
      <c r="Q164" s="97"/>
      <c r="R164" s="231"/>
    </row>
    <row r="165" spans="3:18" ht="24.75" customHeight="1" x14ac:dyDescent="0.25">
      <c r="C165" s="92">
        <v>162</v>
      </c>
      <c r="D165" s="78"/>
      <c r="E165" s="93"/>
      <c r="F165" s="94"/>
      <c r="G165" s="93"/>
      <c r="H165" s="95"/>
      <c r="I165" s="78"/>
      <c r="J165" s="78"/>
      <c r="K165" s="94"/>
      <c r="L165" s="94"/>
      <c r="M165" s="78"/>
      <c r="N165" s="96"/>
      <c r="O165" s="78"/>
      <c r="P165" s="78"/>
      <c r="Q165" s="97"/>
      <c r="R165" s="231"/>
    </row>
    <row r="166" spans="3:18" ht="24.75" customHeight="1" x14ac:dyDescent="0.25">
      <c r="C166" s="92">
        <v>163</v>
      </c>
      <c r="D166" s="78"/>
      <c r="E166" s="93"/>
      <c r="F166" s="94"/>
      <c r="G166" s="93"/>
      <c r="H166" s="95"/>
      <c r="I166" s="78"/>
      <c r="J166" s="78"/>
      <c r="K166" s="94"/>
      <c r="L166" s="94"/>
      <c r="M166" s="78"/>
      <c r="N166" s="96"/>
      <c r="O166" s="78"/>
      <c r="P166" s="78"/>
      <c r="Q166" s="97"/>
      <c r="R166" s="231"/>
    </row>
    <row r="167" spans="3:18" ht="24.75" customHeight="1" x14ac:dyDescent="0.25">
      <c r="C167" s="92">
        <v>164</v>
      </c>
      <c r="D167" s="78"/>
      <c r="E167" s="93"/>
      <c r="F167" s="94"/>
      <c r="G167" s="93"/>
      <c r="H167" s="95"/>
      <c r="I167" s="78"/>
      <c r="J167" s="78"/>
      <c r="K167" s="94"/>
      <c r="L167" s="94"/>
      <c r="M167" s="78"/>
      <c r="N167" s="96"/>
      <c r="O167" s="78"/>
      <c r="P167" s="78"/>
      <c r="Q167" s="97"/>
      <c r="R167" s="231"/>
    </row>
    <row r="168" spans="3:18" ht="24.75" customHeight="1" x14ac:dyDescent="0.25">
      <c r="C168" s="92">
        <v>165</v>
      </c>
      <c r="D168" s="78"/>
      <c r="E168" s="93"/>
      <c r="F168" s="94"/>
      <c r="G168" s="93"/>
      <c r="H168" s="95"/>
      <c r="I168" s="78"/>
      <c r="J168" s="78"/>
      <c r="K168" s="94"/>
      <c r="L168" s="94"/>
      <c r="M168" s="78"/>
      <c r="N168" s="96"/>
      <c r="O168" s="78"/>
      <c r="P168" s="78"/>
      <c r="Q168" s="97"/>
      <c r="R168" s="231"/>
    </row>
    <row r="169" spans="3:18" ht="24.75" customHeight="1" x14ac:dyDescent="0.25">
      <c r="C169" s="92">
        <v>166</v>
      </c>
      <c r="D169" s="78"/>
      <c r="E169" s="93"/>
      <c r="F169" s="94"/>
      <c r="G169" s="93"/>
      <c r="H169" s="95"/>
      <c r="I169" s="78"/>
      <c r="J169" s="78"/>
      <c r="K169" s="94"/>
      <c r="L169" s="94"/>
      <c r="M169" s="78"/>
      <c r="N169" s="96"/>
      <c r="O169" s="78"/>
      <c r="P169" s="78"/>
      <c r="Q169" s="97"/>
      <c r="R169" s="231"/>
    </row>
    <row r="170" spans="3:18" ht="24.75" customHeight="1" x14ac:dyDescent="0.25">
      <c r="C170" s="92">
        <v>167</v>
      </c>
      <c r="D170" s="78"/>
      <c r="E170" s="93"/>
      <c r="F170" s="94"/>
      <c r="G170" s="93"/>
      <c r="H170" s="95"/>
      <c r="I170" s="78"/>
      <c r="J170" s="78"/>
      <c r="K170" s="94"/>
      <c r="L170" s="94"/>
      <c r="M170" s="78"/>
      <c r="N170" s="96"/>
      <c r="O170" s="78"/>
      <c r="P170" s="78"/>
      <c r="Q170" s="97"/>
      <c r="R170" s="231"/>
    </row>
    <row r="171" spans="3:18" ht="24.75" customHeight="1" x14ac:dyDescent="0.25">
      <c r="C171" s="92">
        <v>168</v>
      </c>
      <c r="D171" s="78"/>
      <c r="E171" s="93"/>
      <c r="F171" s="94"/>
      <c r="G171" s="93"/>
      <c r="H171" s="95"/>
      <c r="I171" s="78"/>
      <c r="J171" s="78"/>
      <c r="K171" s="94"/>
      <c r="L171" s="94"/>
      <c r="M171" s="78"/>
      <c r="N171" s="96"/>
      <c r="O171" s="78"/>
      <c r="P171" s="78"/>
      <c r="Q171" s="97"/>
      <c r="R171" s="231"/>
    </row>
    <row r="172" spans="3:18" ht="24.75" customHeight="1" x14ac:dyDescent="0.25">
      <c r="C172" s="92">
        <v>169</v>
      </c>
      <c r="D172" s="78"/>
      <c r="E172" s="93"/>
      <c r="F172" s="94"/>
      <c r="G172" s="93"/>
      <c r="H172" s="95"/>
      <c r="I172" s="78"/>
      <c r="J172" s="78"/>
      <c r="K172" s="94"/>
      <c r="L172" s="94"/>
      <c r="M172" s="78"/>
      <c r="N172" s="96"/>
      <c r="O172" s="78"/>
      <c r="P172" s="78"/>
      <c r="Q172" s="97"/>
      <c r="R172" s="231"/>
    </row>
    <row r="173" spans="3:18" ht="24.75" customHeight="1" x14ac:dyDescent="0.25">
      <c r="C173" s="92">
        <v>170</v>
      </c>
      <c r="D173" s="78"/>
      <c r="E173" s="93"/>
      <c r="F173" s="94"/>
      <c r="G173" s="93"/>
      <c r="H173" s="95"/>
      <c r="I173" s="78"/>
      <c r="J173" s="78"/>
      <c r="K173" s="94"/>
      <c r="L173" s="94"/>
      <c r="M173" s="78"/>
      <c r="N173" s="96"/>
      <c r="O173" s="78"/>
      <c r="P173" s="78"/>
      <c r="Q173" s="97"/>
      <c r="R173" s="231"/>
    </row>
    <row r="174" spans="3:18" ht="24.75" customHeight="1" x14ac:dyDescent="0.25">
      <c r="C174" s="92">
        <v>171</v>
      </c>
      <c r="D174" s="78"/>
      <c r="E174" s="93"/>
      <c r="F174" s="94"/>
      <c r="G174" s="93"/>
      <c r="H174" s="95"/>
      <c r="I174" s="78"/>
      <c r="J174" s="78"/>
      <c r="K174" s="94"/>
      <c r="L174" s="94"/>
      <c r="M174" s="78"/>
      <c r="N174" s="96"/>
      <c r="O174" s="78"/>
      <c r="P174" s="78"/>
      <c r="Q174" s="97"/>
      <c r="R174" s="231"/>
    </row>
    <row r="175" spans="3:18" ht="24.75" customHeight="1" x14ac:dyDescent="0.25">
      <c r="C175" s="92">
        <v>172</v>
      </c>
      <c r="D175" s="78"/>
      <c r="E175" s="93"/>
      <c r="F175" s="94"/>
      <c r="G175" s="93"/>
      <c r="H175" s="95"/>
      <c r="I175" s="78"/>
      <c r="J175" s="78"/>
      <c r="K175" s="94"/>
      <c r="L175" s="94"/>
      <c r="M175" s="78"/>
      <c r="N175" s="96"/>
      <c r="O175" s="78"/>
      <c r="P175" s="78"/>
      <c r="Q175" s="97"/>
      <c r="R175" s="231"/>
    </row>
    <row r="176" spans="3:18" ht="24.75" customHeight="1" x14ac:dyDescent="0.25">
      <c r="C176" s="92">
        <v>173</v>
      </c>
      <c r="D176" s="78"/>
      <c r="E176" s="93"/>
      <c r="F176" s="94"/>
      <c r="G176" s="93"/>
      <c r="H176" s="95"/>
      <c r="I176" s="78"/>
      <c r="J176" s="78"/>
      <c r="K176" s="94"/>
      <c r="L176" s="94"/>
      <c r="M176" s="78"/>
      <c r="N176" s="96"/>
      <c r="O176" s="78"/>
      <c r="P176" s="78"/>
      <c r="Q176" s="97"/>
      <c r="R176" s="231"/>
    </row>
    <row r="177" spans="3:18" ht="24.75" customHeight="1" x14ac:dyDescent="0.25">
      <c r="C177" s="92">
        <v>174</v>
      </c>
      <c r="D177" s="78"/>
      <c r="E177" s="93"/>
      <c r="F177" s="94"/>
      <c r="G177" s="93"/>
      <c r="H177" s="95"/>
      <c r="I177" s="78"/>
      <c r="J177" s="78"/>
      <c r="K177" s="94"/>
      <c r="L177" s="94"/>
      <c r="M177" s="78"/>
      <c r="N177" s="96"/>
      <c r="O177" s="78"/>
      <c r="P177" s="78"/>
      <c r="Q177" s="97"/>
      <c r="R177" s="231"/>
    </row>
    <row r="178" spans="3:18" ht="24.75" customHeight="1" x14ac:dyDescent="0.25">
      <c r="C178" s="92">
        <v>175</v>
      </c>
      <c r="D178" s="78"/>
      <c r="E178" s="93"/>
      <c r="F178" s="94"/>
      <c r="G178" s="93"/>
      <c r="H178" s="95"/>
      <c r="I178" s="78"/>
      <c r="J178" s="78"/>
      <c r="K178" s="94"/>
      <c r="L178" s="94"/>
      <c r="M178" s="78"/>
      <c r="N178" s="96"/>
      <c r="O178" s="78"/>
      <c r="P178" s="78"/>
      <c r="Q178" s="97"/>
      <c r="R178" s="231"/>
    </row>
    <row r="179" spans="3:18" ht="24.75" customHeight="1" x14ac:dyDescent="0.25">
      <c r="C179" s="92">
        <v>176</v>
      </c>
      <c r="D179" s="78"/>
      <c r="E179" s="93"/>
      <c r="F179" s="94"/>
      <c r="G179" s="93"/>
      <c r="H179" s="95"/>
      <c r="I179" s="78"/>
      <c r="J179" s="78"/>
      <c r="K179" s="94"/>
      <c r="L179" s="94"/>
      <c r="M179" s="78"/>
      <c r="N179" s="96"/>
      <c r="O179" s="78"/>
      <c r="P179" s="78"/>
      <c r="Q179" s="97"/>
      <c r="R179" s="231"/>
    </row>
    <row r="180" spans="3:18" ht="24.75" customHeight="1" x14ac:dyDescent="0.25">
      <c r="C180" s="92">
        <v>177</v>
      </c>
      <c r="D180" s="78"/>
      <c r="E180" s="93"/>
      <c r="F180" s="94"/>
      <c r="G180" s="93"/>
      <c r="H180" s="95"/>
      <c r="I180" s="78"/>
      <c r="J180" s="78"/>
      <c r="K180" s="94"/>
      <c r="L180" s="94"/>
      <c r="M180" s="78"/>
      <c r="N180" s="96"/>
      <c r="O180" s="78"/>
      <c r="P180" s="78"/>
      <c r="Q180" s="97"/>
      <c r="R180" s="231"/>
    </row>
    <row r="181" spans="3:18" ht="24.75" customHeight="1" x14ac:dyDescent="0.25">
      <c r="C181" s="92">
        <v>178</v>
      </c>
      <c r="D181" s="78"/>
      <c r="E181" s="93"/>
      <c r="F181" s="94"/>
      <c r="G181" s="93"/>
      <c r="H181" s="95"/>
      <c r="I181" s="78"/>
      <c r="J181" s="78"/>
      <c r="K181" s="94"/>
      <c r="L181" s="94"/>
      <c r="M181" s="78"/>
      <c r="N181" s="96"/>
      <c r="O181" s="78"/>
      <c r="P181" s="78"/>
      <c r="Q181" s="97"/>
      <c r="R181" s="231"/>
    </row>
    <row r="182" spans="3:18" ht="24.75" customHeight="1" x14ac:dyDescent="0.25">
      <c r="C182" s="92">
        <v>179</v>
      </c>
      <c r="D182" s="78"/>
      <c r="E182" s="93"/>
      <c r="F182" s="94"/>
      <c r="G182" s="93"/>
      <c r="H182" s="95"/>
      <c r="I182" s="78"/>
      <c r="J182" s="78"/>
      <c r="K182" s="94"/>
      <c r="L182" s="94"/>
      <c r="M182" s="78"/>
      <c r="N182" s="96"/>
      <c r="O182" s="78"/>
      <c r="P182" s="78"/>
      <c r="Q182" s="97"/>
      <c r="R182" s="231"/>
    </row>
    <row r="183" spans="3:18" ht="24.75" customHeight="1" x14ac:dyDescent="0.25">
      <c r="C183" s="92">
        <v>180</v>
      </c>
      <c r="D183" s="78"/>
      <c r="E183" s="93"/>
      <c r="F183" s="94"/>
      <c r="G183" s="93"/>
      <c r="H183" s="95"/>
      <c r="I183" s="78"/>
      <c r="J183" s="78"/>
      <c r="K183" s="94"/>
      <c r="L183" s="94"/>
      <c r="M183" s="78"/>
      <c r="N183" s="96"/>
      <c r="O183" s="78"/>
      <c r="P183" s="78"/>
      <c r="Q183" s="97"/>
      <c r="R183" s="231"/>
    </row>
    <row r="184" spans="3:18" ht="24.75" customHeight="1" x14ac:dyDescent="0.25">
      <c r="C184" s="92">
        <v>181</v>
      </c>
      <c r="D184" s="78"/>
      <c r="E184" s="93"/>
      <c r="F184" s="94"/>
      <c r="G184" s="93"/>
      <c r="H184" s="95"/>
      <c r="I184" s="78"/>
      <c r="J184" s="78"/>
      <c r="K184" s="94"/>
      <c r="L184" s="94"/>
      <c r="M184" s="78"/>
      <c r="N184" s="96"/>
      <c r="O184" s="78"/>
      <c r="P184" s="78"/>
      <c r="Q184" s="97"/>
      <c r="R184" s="231"/>
    </row>
    <row r="185" spans="3:18" ht="24.75" customHeight="1" x14ac:dyDescent="0.25">
      <c r="C185" s="92">
        <v>182</v>
      </c>
      <c r="D185" s="78"/>
      <c r="E185" s="93"/>
      <c r="F185" s="94"/>
      <c r="G185" s="93"/>
      <c r="H185" s="95"/>
      <c r="I185" s="78"/>
      <c r="J185" s="78"/>
      <c r="K185" s="94"/>
      <c r="L185" s="94"/>
      <c r="M185" s="78"/>
      <c r="N185" s="96"/>
      <c r="O185" s="78"/>
      <c r="P185" s="78"/>
      <c r="Q185" s="97"/>
      <c r="R185" s="231"/>
    </row>
    <row r="186" spans="3:18" ht="24.75" customHeight="1" x14ac:dyDescent="0.25">
      <c r="C186" s="92">
        <v>183</v>
      </c>
      <c r="D186" s="78"/>
      <c r="E186" s="93"/>
      <c r="F186" s="94"/>
      <c r="G186" s="93"/>
      <c r="H186" s="95"/>
      <c r="I186" s="78"/>
      <c r="J186" s="78"/>
      <c r="K186" s="94"/>
      <c r="L186" s="94"/>
      <c r="M186" s="78"/>
      <c r="N186" s="96"/>
      <c r="O186" s="78"/>
      <c r="P186" s="78"/>
      <c r="Q186" s="97"/>
      <c r="R186" s="231"/>
    </row>
    <row r="187" spans="3:18" ht="24.75" customHeight="1" x14ac:dyDescent="0.25">
      <c r="C187" s="92">
        <v>184</v>
      </c>
      <c r="D187" s="78"/>
      <c r="E187" s="93"/>
      <c r="F187" s="94"/>
      <c r="G187" s="93"/>
      <c r="H187" s="95"/>
      <c r="I187" s="78"/>
      <c r="J187" s="78"/>
      <c r="K187" s="94"/>
      <c r="L187" s="94"/>
      <c r="M187" s="78"/>
      <c r="N187" s="96"/>
      <c r="O187" s="78"/>
      <c r="P187" s="78"/>
      <c r="Q187" s="97"/>
      <c r="R187" s="231"/>
    </row>
    <row r="188" spans="3:18" ht="24.75" customHeight="1" x14ac:dyDescent="0.25">
      <c r="C188" s="92">
        <v>185</v>
      </c>
      <c r="D188" s="78"/>
      <c r="E188" s="93"/>
      <c r="F188" s="94"/>
      <c r="G188" s="93"/>
      <c r="H188" s="95"/>
      <c r="I188" s="78"/>
      <c r="J188" s="78"/>
      <c r="K188" s="94"/>
      <c r="L188" s="94"/>
      <c r="M188" s="78"/>
      <c r="N188" s="96"/>
      <c r="O188" s="78"/>
      <c r="P188" s="78"/>
      <c r="Q188" s="97"/>
      <c r="R188" s="231"/>
    </row>
    <row r="189" spans="3:18" ht="24.75" customHeight="1" x14ac:dyDescent="0.25">
      <c r="C189" s="92">
        <v>186</v>
      </c>
      <c r="D189" s="78"/>
      <c r="E189" s="93"/>
      <c r="F189" s="94"/>
      <c r="G189" s="93"/>
      <c r="H189" s="95"/>
      <c r="I189" s="78"/>
      <c r="J189" s="78"/>
      <c r="K189" s="94"/>
      <c r="L189" s="94"/>
      <c r="M189" s="78"/>
      <c r="N189" s="96"/>
      <c r="O189" s="78"/>
      <c r="P189" s="78"/>
      <c r="Q189" s="97"/>
      <c r="R189" s="231"/>
    </row>
    <row r="190" spans="3:18" ht="24.75" customHeight="1" x14ac:dyDescent="0.25">
      <c r="C190" s="92">
        <v>187</v>
      </c>
      <c r="D190" s="78"/>
      <c r="E190" s="93"/>
      <c r="F190" s="94"/>
      <c r="G190" s="93"/>
      <c r="H190" s="95"/>
      <c r="I190" s="78"/>
      <c r="J190" s="78"/>
      <c r="K190" s="94"/>
      <c r="L190" s="94"/>
      <c r="M190" s="78"/>
      <c r="N190" s="96"/>
      <c r="O190" s="78"/>
      <c r="P190" s="78"/>
      <c r="Q190" s="97"/>
      <c r="R190" s="231"/>
    </row>
    <row r="191" spans="3:18" ht="24.75" customHeight="1" x14ac:dyDescent="0.25">
      <c r="C191" s="92">
        <v>188</v>
      </c>
      <c r="D191" s="78"/>
      <c r="E191" s="93"/>
      <c r="F191" s="94"/>
      <c r="G191" s="93"/>
      <c r="H191" s="95"/>
      <c r="I191" s="78"/>
      <c r="J191" s="78"/>
      <c r="K191" s="94"/>
      <c r="L191" s="94"/>
      <c r="M191" s="78"/>
      <c r="N191" s="96"/>
      <c r="O191" s="78"/>
      <c r="P191" s="78"/>
      <c r="Q191" s="97"/>
      <c r="R191" s="231"/>
    </row>
    <row r="192" spans="3:18" ht="24.75" customHeight="1" x14ac:dyDescent="0.25">
      <c r="C192" s="92">
        <v>189</v>
      </c>
      <c r="D192" s="78"/>
      <c r="E192" s="93"/>
      <c r="F192" s="94"/>
      <c r="G192" s="93"/>
      <c r="H192" s="95"/>
      <c r="I192" s="78"/>
      <c r="J192" s="78"/>
      <c r="K192" s="94"/>
      <c r="L192" s="94"/>
      <c r="M192" s="78"/>
      <c r="N192" s="96"/>
      <c r="O192" s="78"/>
      <c r="P192" s="78"/>
      <c r="Q192" s="97"/>
      <c r="R192" s="231"/>
    </row>
    <row r="193" spans="3:18" ht="24.75" customHeight="1" x14ac:dyDescent="0.25">
      <c r="C193" s="92">
        <v>190</v>
      </c>
      <c r="D193" s="78"/>
      <c r="E193" s="93"/>
      <c r="F193" s="94"/>
      <c r="G193" s="93"/>
      <c r="H193" s="95"/>
      <c r="I193" s="78"/>
      <c r="J193" s="78"/>
      <c r="K193" s="94"/>
      <c r="L193" s="94"/>
      <c r="M193" s="78"/>
      <c r="N193" s="96"/>
      <c r="O193" s="78"/>
      <c r="P193" s="78"/>
      <c r="Q193" s="97"/>
      <c r="R193" s="231"/>
    </row>
    <row r="194" spans="3:18" ht="24.75" customHeight="1" x14ac:dyDescent="0.25">
      <c r="C194" s="92">
        <v>191</v>
      </c>
      <c r="D194" s="78"/>
      <c r="E194" s="93"/>
      <c r="F194" s="94"/>
      <c r="G194" s="93"/>
      <c r="H194" s="95"/>
      <c r="I194" s="78"/>
      <c r="J194" s="78"/>
      <c r="K194" s="94"/>
      <c r="L194" s="94"/>
      <c r="M194" s="78"/>
      <c r="N194" s="96"/>
      <c r="O194" s="78"/>
      <c r="P194" s="78"/>
      <c r="Q194" s="97"/>
      <c r="R194" s="231"/>
    </row>
    <row r="195" spans="3:18" ht="24.75" customHeight="1" x14ac:dyDescent="0.25">
      <c r="C195" s="92">
        <v>192</v>
      </c>
      <c r="D195" s="78"/>
      <c r="E195" s="93"/>
      <c r="F195" s="94"/>
      <c r="G195" s="93"/>
      <c r="H195" s="95"/>
      <c r="I195" s="78"/>
      <c r="J195" s="78"/>
      <c r="K195" s="94"/>
      <c r="L195" s="94"/>
      <c r="M195" s="78"/>
      <c r="N195" s="96"/>
      <c r="O195" s="78"/>
      <c r="P195" s="78"/>
      <c r="Q195" s="97"/>
      <c r="R195" s="231"/>
    </row>
    <row r="196" spans="3:18" ht="24.75" customHeight="1" x14ac:dyDescent="0.25">
      <c r="C196" s="92">
        <v>193</v>
      </c>
      <c r="D196" s="78"/>
      <c r="E196" s="93"/>
      <c r="F196" s="94"/>
      <c r="G196" s="93"/>
      <c r="H196" s="95"/>
      <c r="I196" s="78"/>
      <c r="J196" s="78"/>
      <c r="K196" s="94"/>
      <c r="L196" s="94"/>
      <c r="M196" s="78"/>
      <c r="N196" s="96"/>
      <c r="O196" s="78"/>
      <c r="P196" s="78"/>
      <c r="Q196" s="97"/>
      <c r="R196" s="231"/>
    </row>
    <row r="197" spans="3:18" ht="24.75" customHeight="1" x14ac:dyDescent="0.25">
      <c r="C197" s="92">
        <v>194</v>
      </c>
      <c r="D197" s="78"/>
      <c r="E197" s="93"/>
      <c r="F197" s="94"/>
      <c r="G197" s="93"/>
      <c r="H197" s="95"/>
      <c r="I197" s="78"/>
      <c r="J197" s="78"/>
      <c r="K197" s="94"/>
      <c r="L197" s="94"/>
      <c r="M197" s="78"/>
      <c r="N197" s="96"/>
      <c r="O197" s="78"/>
      <c r="P197" s="78"/>
      <c r="Q197" s="97"/>
      <c r="R197" s="231"/>
    </row>
    <row r="198" spans="3:18" ht="24.75" customHeight="1" x14ac:dyDescent="0.25">
      <c r="C198" s="92">
        <v>195</v>
      </c>
      <c r="D198" s="78"/>
      <c r="E198" s="93"/>
      <c r="F198" s="94"/>
      <c r="G198" s="93"/>
      <c r="H198" s="95"/>
      <c r="I198" s="78"/>
      <c r="J198" s="78"/>
      <c r="K198" s="94"/>
      <c r="L198" s="94"/>
      <c r="M198" s="78"/>
      <c r="N198" s="96"/>
      <c r="O198" s="78"/>
      <c r="P198" s="78"/>
      <c r="Q198" s="97"/>
      <c r="R198" s="231"/>
    </row>
    <row r="199" spans="3:18" ht="24.75" customHeight="1" x14ac:dyDescent="0.25">
      <c r="C199" s="92">
        <v>196</v>
      </c>
      <c r="D199" s="78"/>
      <c r="E199" s="93"/>
      <c r="F199" s="94"/>
      <c r="G199" s="93"/>
      <c r="H199" s="95"/>
      <c r="I199" s="78"/>
      <c r="J199" s="78"/>
      <c r="K199" s="94"/>
      <c r="L199" s="94"/>
      <c r="M199" s="78"/>
      <c r="N199" s="96"/>
      <c r="O199" s="78"/>
      <c r="P199" s="78"/>
      <c r="Q199" s="97"/>
      <c r="R199" s="231"/>
    </row>
    <row r="200" spans="3:18" ht="24.75" customHeight="1" x14ac:dyDescent="0.25">
      <c r="C200" s="92">
        <v>197</v>
      </c>
      <c r="D200" s="78"/>
      <c r="E200" s="93"/>
      <c r="F200" s="94"/>
      <c r="G200" s="93"/>
      <c r="H200" s="95"/>
      <c r="I200" s="78"/>
      <c r="J200" s="78"/>
      <c r="K200" s="94"/>
      <c r="L200" s="94"/>
      <c r="M200" s="78"/>
      <c r="N200" s="96"/>
      <c r="O200" s="78"/>
      <c r="P200" s="78"/>
      <c r="Q200" s="97"/>
      <c r="R200" s="231"/>
    </row>
    <row r="201" spans="3:18" ht="24.75" customHeight="1" x14ac:dyDescent="0.25">
      <c r="C201" s="92">
        <v>198</v>
      </c>
      <c r="D201" s="78"/>
      <c r="E201" s="93"/>
      <c r="F201" s="94"/>
      <c r="G201" s="93"/>
      <c r="H201" s="95"/>
      <c r="I201" s="78"/>
      <c r="J201" s="78"/>
      <c r="K201" s="94"/>
      <c r="L201" s="94"/>
      <c r="M201" s="78"/>
      <c r="N201" s="96"/>
      <c r="O201" s="78"/>
      <c r="P201" s="78"/>
      <c r="Q201" s="97"/>
      <c r="R201" s="231"/>
    </row>
    <row r="202" spans="3:18" ht="24.75" customHeight="1" x14ac:dyDescent="0.25">
      <c r="C202" s="92">
        <v>199</v>
      </c>
      <c r="D202" s="78"/>
      <c r="E202" s="93"/>
      <c r="F202" s="94"/>
      <c r="G202" s="93"/>
      <c r="H202" s="95"/>
      <c r="I202" s="78"/>
      <c r="J202" s="78"/>
      <c r="K202" s="94"/>
      <c r="L202" s="94"/>
      <c r="M202" s="78"/>
      <c r="N202" s="96"/>
      <c r="O202" s="78"/>
      <c r="P202" s="78"/>
      <c r="Q202" s="129"/>
      <c r="R202" s="231"/>
    </row>
    <row r="203" spans="3:18" ht="24.75" customHeight="1" x14ac:dyDescent="0.25">
      <c r="C203" s="92">
        <v>200</v>
      </c>
      <c r="D203" s="78"/>
      <c r="E203" s="93"/>
      <c r="F203" s="94"/>
      <c r="G203" s="93"/>
      <c r="H203" s="95"/>
      <c r="I203" s="78"/>
      <c r="J203" s="78"/>
      <c r="K203" s="94"/>
      <c r="L203" s="94"/>
      <c r="M203" s="78"/>
      <c r="N203" s="96"/>
      <c r="O203" s="78"/>
      <c r="P203" s="78"/>
      <c r="Q203" s="97"/>
      <c r="R203" s="231"/>
    </row>
    <row r="204" spans="3:18" ht="28.5" customHeight="1" x14ac:dyDescent="0.25">
      <c r="C204" s="227" t="s">
        <v>88</v>
      </c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</row>
    <row r="205" spans="3:18" ht="21" customHeight="1" x14ac:dyDescent="0.25"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</row>
  </sheetData>
  <sheetProtection algorithmName="SHA-512" hashValue="VWHHbTq8ZprUChglchc45ZlxoFT7O9BeVnntz2H5m83EcpjdvfUTwUKXsaoxDQh8xccvGdamLl17natxZaFHBA==" saltValue="LdoM1lksvsg5Vyc2hXj3Rg==" spinCount="100000" sheet="1" objects="1" scenarios="1"/>
  <mergeCells count="15">
    <mergeCell ref="C204:R205"/>
    <mergeCell ref="C2:R2"/>
    <mergeCell ref="T14:AK16"/>
    <mergeCell ref="T2:AK3"/>
    <mergeCell ref="R3:R203"/>
    <mergeCell ref="T12:W13"/>
    <mergeCell ref="X12:AB13"/>
    <mergeCell ref="AC12:AG13"/>
    <mergeCell ref="AH12:AK13"/>
    <mergeCell ref="T19:W20"/>
    <mergeCell ref="Y19:AB20"/>
    <mergeCell ref="T21:W22"/>
    <mergeCell ref="Y21:AB22"/>
    <mergeCell ref="AD21:AG22"/>
    <mergeCell ref="AD19:AG20"/>
  </mergeCells>
  <conditionalFormatting sqref="O4:O203">
    <cfRule type="cellIs" dxfId="1571" priority="36" operator="equal">
      <formula>"TP"</formula>
    </cfRule>
  </conditionalFormatting>
  <conditionalFormatting sqref="O1 O3:O203 O206:O1048576">
    <cfRule type="cellIs" dxfId="1570" priority="23" operator="equal">
      <formula>"TP"</formula>
    </cfRule>
    <cfRule type="cellIs" dxfId="1569" priority="25" operator="equal">
      <formula>"TP"</formula>
    </cfRule>
    <cfRule type="cellIs" dxfId="1568" priority="26" operator="equal">
      <formula>"OT -"</formula>
    </cfRule>
    <cfRule type="cellIs" dxfId="1567" priority="27" operator="equal">
      <formula>"OT +"</formula>
    </cfRule>
    <cfRule type="cellIs" dxfId="1566" priority="28" operator="equal">
      <formula>"RF"</formula>
    </cfRule>
    <cfRule type="cellIs" dxfId="1565" priority="29" operator="equal">
      <formula>"SL"</formula>
    </cfRule>
    <cfRule type="cellIs" dxfId="1564" priority="30" operator="equal">
      <formula>"SL"</formula>
    </cfRule>
    <cfRule type="cellIs" dxfId="1563" priority="31" operator="equal">
      <formula>"SL"</formula>
    </cfRule>
    <cfRule type="cellIs" dxfId="1562" priority="32" operator="equal">
      <formula>"SL"</formula>
    </cfRule>
    <cfRule type="cellIs" dxfId="1561" priority="33" operator="equal">
      <formula>"LS"</formula>
    </cfRule>
    <cfRule type="cellIs" dxfId="1560" priority="34" operator="equal">
      <formula>"PS"</formula>
    </cfRule>
    <cfRule type="cellIs" dxfId="1559" priority="35" operator="equal">
      <formula>"PS"</formula>
    </cfRule>
  </conditionalFormatting>
  <conditionalFormatting sqref="P1 P3:P203 P206:P1048576">
    <cfRule type="cellIs" dxfId="1558" priority="18" operator="equal">
      <formula>"TC"</formula>
    </cfRule>
    <cfRule type="cellIs" dxfId="1557" priority="19" operator="equal">
      <formula>"DC"</formula>
    </cfRule>
    <cfRule type="cellIs" dxfId="1556" priority="20" operator="equal">
      <formula>"TC"</formula>
    </cfRule>
    <cfRule type="cellIs" dxfId="1555" priority="21" operator="equal">
      <formula>"DC"</formula>
    </cfRule>
    <cfRule type="cellIs" dxfId="1554" priority="22" operator="equal">
      <formula>"Keep Went"</formula>
    </cfRule>
    <cfRule type="cellIs" dxfId="1553" priority="24" operator="equal">
      <formula>"SF"</formula>
    </cfRule>
  </conditionalFormatting>
  <conditionalFormatting sqref="D1 D3:D203 D206:D1048576">
    <cfRule type="cellIs" dxfId="1552" priority="13" operator="equal">
      <formula>"TUESDAY"</formula>
    </cfRule>
    <cfRule type="cellIs" dxfId="1551" priority="14" operator="equal">
      <formula>"FRIDAY"</formula>
    </cfRule>
    <cfRule type="cellIs" dxfId="1550" priority="15" operator="equal">
      <formula>"WEDNESDAY"</formula>
    </cfRule>
    <cfRule type="cellIs" dxfId="1549" priority="16" operator="equal">
      <formula>"THURSDAY"</formula>
    </cfRule>
    <cfRule type="cellIs" dxfId="1548" priority="17" operator="equal">
      <formula>"MONDAY"</formula>
    </cfRule>
  </conditionalFormatting>
  <conditionalFormatting sqref="M4:M203">
    <cfRule type="cellIs" dxfId="1547" priority="7" operator="equal">
      <formula>"Sell"</formula>
    </cfRule>
    <cfRule type="cellIs" dxfId="1546" priority="8" operator="equal">
      <formula>"Buy"</formula>
    </cfRule>
  </conditionalFormatting>
  <conditionalFormatting sqref="P4:P203">
    <cfRule type="cellIs" dxfId="1545" priority="3" operator="equal">
      <formula>"RNG"</formula>
    </cfRule>
  </conditionalFormatting>
  <conditionalFormatting sqref="Q4:Q203">
    <cfRule type="cellIs" dxfId="1544" priority="1" operator="lessThan">
      <formula>0</formula>
    </cfRule>
    <cfRule type="cellIs" dxfId="1543" priority="2" operator="greaterThan">
      <formula>0</formula>
    </cfRule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2EC90ACB-1842-4BDD-AF7A-E814FBD9CAE7}">
            <xm:f>Data!$D$6</xm:f>
            <x14:dxf>
              <fill>
                <patternFill>
                  <bgColor rgb="FFFFD9FF"/>
                </patternFill>
              </fill>
            </x14:dxf>
          </x14:cfRule>
          <x14:cfRule type="cellIs" priority="10" operator="equal" id="{26A08330-E55F-438D-9947-312CB0D363D7}">
            <xm:f>Data!$D$7</xm:f>
            <x14:dxf>
              <fill>
                <patternFill>
                  <bgColor rgb="FFFFDCB9"/>
                </patternFill>
              </fill>
            </x14:dxf>
          </x14:cfRule>
          <x14:cfRule type="cellIs" priority="11" operator="equal" id="{C7209631-EAA5-4EAC-94EE-AA865E9B2839}">
            <xm:f>Data!$D$6</xm:f>
            <x14:dxf>
              <fill>
                <patternFill>
                  <bgColor rgb="FFF6FF9F"/>
                </patternFill>
              </fill>
            </x14:dxf>
          </x14:cfRule>
          <x14:cfRule type="cellIs" priority="12" operator="equal" id="{71A4E02F-6167-44BB-8838-F5E56C35BCE5}">
            <xm:f>Data!$D$5</xm:f>
            <x14:dxf>
              <fill>
                <patternFill>
                  <bgColor rgb="FFE6FFFF"/>
                </patternFill>
              </fill>
            </x14:dxf>
          </x14:cfRule>
          <xm:sqref>G4:G203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Data!$C$5:$C$9</xm:f>
          </x14:formula1>
          <xm:sqref>D4:D203 D206:D1048576</xm:sqref>
        </x14:dataValidation>
        <x14:dataValidation type="list" allowBlank="1" showInputMessage="1" showErrorMessage="1">
          <x14:formula1>
            <xm:f>Data!$G$5:$G$15</xm:f>
          </x14:formula1>
          <xm:sqref>J4:J203 J206:J1048576</xm:sqref>
        </x14:dataValidation>
        <x14:dataValidation type="list" allowBlank="1" showInputMessage="1" showErrorMessage="1">
          <x14:formula1>
            <xm:f>Data!$J$5:$J$6</xm:f>
          </x14:formula1>
          <xm:sqref>M4:M203 M206:M1048576</xm:sqref>
        </x14:dataValidation>
        <x14:dataValidation type="list" allowBlank="1" showInputMessage="1" showErrorMessage="1">
          <x14:formula1>
            <xm:f>Data!$K$5:$K$11</xm:f>
          </x14:formula1>
          <xm:sqref>O4:O203 O206:O1048576</xm:sqref>
        </x14:dataValidation>
        <x14:dataValidation type="list" allowBlank="1" showInputMessage="1" showErrorMessage="1">
          <x14:formula1>
            <xm:f>Data!$L$5:$L$9</xm:f>
          </x14:formula1>
          <xm:sqref>P4:P203 P206:P1048576</xm:sqref>
        </x14:dataValidation>
        <x14:dataValidation type="list" allowBlank="1" showInputMessage="1" showErrorMessage="1">
          <x14:formula1>
            <xm:f>Data!$I$5:$I$9</xm:f>
          </x14:formula1>
          <xm:sqref>L206:L1048576</xm:sqref>
        </x14:dataValidation>
        <x14:dataValidation type="list" allowBlank="1" showInputMessage="1" showErrorMessage="1">
          <x14:formula1>
            <xm:f>Data!$H$5:$H$10</xm:f>
          </x14:formula1>
          <xm:sqref>K206:K1048576</xm:sqref>
        </x14:dataValidation>
        <x14:dataValidation type="list" allowBlank="1" showInputMessage="1" showErrorMessage="1">
          <x14:formula1>
            <xm:f>Data!$D$5:$D$7</xm:f>
          </x14:formula1>
          <xm:sqref>G4:G203 G206:G1048576</xm:sqref>
        </x14:dataValidation>
        <x14:dataValidation type="list" allowBlank="1" showInputMessage="1" showErrorMessage="1">
          <x14:formula1>
            <xm:f>Data!$H$5:$H$14</xm:f>
          </x14:formula1>
          <xm:sqref>K4:K203</xm:sqref>
        </x14:dataValidation>
        <x14:dataValidation type="list" allowBlank="1" showInputMessage="1" showErrorMessage="1">
          <x14:formula1>
            <xm:f>Data!$N$4:$N$15</xm:f>
          </x14:formula1>
          <xm:sqref>F4:F203</xm:sqref>
        </x14:dataValidation>
        <x14:dataValidation type="list" allowBlank="1" showInputMessage="1" showErrorMessage="1">
          <x14:formula1>
            <xm:f>Data!$O$4:$O$33</xm:f>
          </x14:formula1>
          <xm:sqref>I4:I203</xm:sqref>
        </x14:dataValidation>
        <x14:dataValidation type="list" allowBlank="1" showInputMessage="1" showErrorMessage="1">
          <x14:formula1>
            <xm:f>Data!$I$5:$I$10</xm:f>
          </x14:formula1>
          <xm:sqref>L4:L203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P381"/>
  <sheetViews>
    <sheetView topLeftCell="AD1" zoomScale="70" zoomScaleNormal="70" workbookViewId="0">
      <selection activeCell="AZ14" sqref="AZ14"/>
    </sheetView>
  </sheetViews>
  <sheetFormatPr defaultRowHeight="18.75" x14ac:dyDescent="0.3"/>
  <cols>
    <col min="3" max="3" width="7.85546875" style="138" customWidth="1"/>
    <col min="4" max="4" width="13.5703125" customWidth="1"/>
    <col min="5" max="5" width="11" customWidth="1"/>
    <col min="6" max="6" width="15.5703125" customWidth="1"/>
    <col min="7" max="8" width="11" customWidth="1"/>
    <col min="9" max="9" width="12.28515625" customWidth="1"/>
    <col min="10" max="10" width="17.140625" customWidth="1"/>
    <col min="11" max="11" width="17.7109375" customWidth="1"/>
    <col min="12" max="12" width="15.7109375" customWidth="1"/>
    <col min="13" max="13" width="21.28515625" customWidth="1"/>
    <col min="25" max="25" width="14.28515625" customWidth="1"/>
    <col min="26" max="26" width="15.28515625" customWidth="1"/>
    <col min="27" max="27" width="9.42578125" customWidth="1"/>
    <col min="28" max="28" width="9.5703125" customWidth="1"/>
    <col min="29" max="29" width="9.42578125" customWidth="1"/>
    <col min="30" max="30" width="9.7109375" customWidth="1"/>
    <col min="31" max="31" width="10.42578125" customWidth="1"/>
    <col min="32" max="32" width="9.7109375" customWidth="1"/>
    <col min="33" max="33" width="9.5703125" customWidth="1"/>
    <col min="34" max="34" width="10.28515625" customWidth="1"/>
    <col min="35" max="35" width="9" customWidth="1"/>
    <col min="37" max="37" width="8.42578125" customWidth="1"/>
    <col min="39" max="39" width="13.7109375" customWidth="1"/>
    <col min="40" max="40" width="7" customWidth="1"/>
    <col min="41" max="41" width="7.140625" customWidth="1"/>
    <col min="42" max="42" width="7.42578125" customWidth="1"/>
    <col min="43" max="46" width="7.85546875" customWidth="1"/>
    <col min="47" max="47" width="10.85546875" customWidth="1"/>
    <col min="48" max="48" width="13.42578125" customWidth="1"/>
    <col min="50" max="50" width="15" customWidth="1"/>
    <col min="51" max="51" width="10.7109375" customWidth="1"/>
    <col min="52" max="52" width="13.85546875" customWidth="1"/>
    <col min="54" max="54" width="6.5703125" customWidth="1"/>
    <col min="55" max="55" width="7" customWidth="1"/>
    <col min="56" max="56" width="7.42578125" customWidth="1"/>
    <col min="57" max="57" width="11.85546875" customWidth="1"/>
    <col min="61" max="61" width="15" customWidth="1"/>
  </cols>
  <sheetData>
    <row r="1" spans="3:68" ht="12.75" customHeight="1" x14ac:dyDescent="0.3"/>
    <row r="2" spans="3:68" ht="36.75" customHeight="1" x14ac:dyDescent="0.25">
      <c r="C2" s="254" t="s">
        <v>92</v>
      </c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Y2" s="108" t="s">
        <v>80</v>
      </c>
      <c r="Z2" s="108" t="s">
        <v>43</v>
      </c>
      <c r="AA2" s="108" t="s">
        <v>6</v>
      </c>
      <c r="AB2" s="108" t="s">
        <v>7</v>
      </c>
      <c r="AC2" s="108" t="s">
        <v>9</v>
      </c>
      <c r="AD2" s="108" t="s">
        <v>10</v>
      </c>
      <c r="AE2" s="108" t="s">
        <v>8</v>
      </c>
      <c r="AF2" s="108" t="s">
        <v>11</v>
      </c>
      <c r="AG2" s="108" t="s">
        <v>12</v>
      </c>
      <c r="AH2" s="108" t="s">
        <v>13</v>
      </c>
      <c r="AI2" s="108" t="s">
        <v>14</v>
      </c>
      <c r="AJ2" s="108" t="s">
        <v>15</v>
      </c>
      <c r="AK2" s="108" t="s">
        <v>16</v>
      </c>
      <c r="AM2" s="124" t="s">
        <v>80</v>
      </c>
      <c r="AN2" s="124" t="s">
        <v>27</v>
      </c>
      <c r="AO2" s="124" t="s">
        <v>29</v>
      </c>
      <c r="AP2" s="124" t="s">
        <v>30</v>
      </c>
      <c r="AQ2" s="124" t="s">
        <v>31</v>
      </c>
      <c r="AR2" s="124" t="s">
        <v>32</v>
      </c>
      <c r="AS2" s="124" t="s">
        <v>33</v>
      </c>
      <c r="AT2" s="124" t="s">
        <v>34</v>
      </c>
      <c r="AU2" s="124" t="s">
        <v>120</v>
      </c>
      <c r="AV2" s="124" t="s">
        <v>168</v>
      </c>
      <c r="AX2" s="124" t="s">
        <v>80</v>
      </c>
      <c r="AY2" s="124" t="s">
        <v>48</v>
      </c>
      <c r="AZ2" s="124" t="s">
        <v>168</v>
      </c>
      <c r="BA2" s="53"/>
      <c r="BB2" s="250" t="s">
        <v>27</v>
      </c>
      <c r="BC2" s="251"/>
      <c r="BD2" s="251"/>
      <c r="BE2" s="251"/>
      <c r="BF2" s="252"/>
      <c r="BI2" s="242" t="s">
        <v>26</v>
      </c>
      <c r="BJ2" s="243"/>
      <c r="BK2" s="243"/>
      <c r="BL2" s="243"/>
      <c r="BM2" s="243"/>
      <c r="BN2" s="243"/>
      <c r="BO2" s="243"/>
      <c r="BP2" s="244"/>
    </row>
    <row r="3" spans="3:68" ht="27" customHeight="1" x14ac:dyDescent="0.25">
      <c r="C3" s="139" t="s">
        <v>90</v>
      </c>
      <c r="D3" s="88" t="s">
        <v>113</v>
      </c>
      <c r="E3" s="88" t="s">
        <v>114</v>
      </c>
      <c r="F3" s="88" t="s">
        <v>87</v>
      </c>
      <c r="G3" s="88" t="s">
        <v>3</v>
      </c>
      <c r="H3" s="88" t="s">
        <v>4</v>
      </c>
      <c r="I3" s="88" t="s">
        <v>5</v>
      </c>
      <c r="J3" s="88" t="s">
        <v>25</v>
      </c>
      <c r="K3" s="88" t="s">
        <v>26</v>
      </c>
      <c r="L3" s="88" t="s">
        <v>45</v>
      </c>
      <c r="M3" s="89" t="s">
        <v>91</v>
      </c>
      <c r="N3" s="256" t="s">
        <v>93</v>
      </c>
      <c r="O3" s="256"/>
      <c r="P3" s="256"/>
      <c r="Q3" s="256"/>
      <c r="R3" s="256"/>
      <c r="S3" s="256"/>
      <c r="T3" s="256"/>
      <c r="U3" s="256"/>
      <c r="V3" s="256"/>
      <c r="W3" s="253"/>
      <c r="Y3" s="110" t="s">
        <v>68</v>
      </c>
      <c r="Z3" s="75">
        <f>COUNTIF(F:F,"1")</f>
        <v>0</v>
      </c>
      <c r="AA3" s="75">
        <f>COUNTIFS(F:F,"1",I:I,"TCDP")</f>
        <v>0</v>
      </c>
      <c r="AB3" s="75">
        <f>COUNTIFS(F:F,"1",I:I,"OCDP")</f>
        <v>0</v>
      </c>
      <c r="AC3" s="75">
        <f>COUNTIFS(F:F,"1",I:I,"TCDL")</f>
        <v>0</v>
      </c>
      <c r="AD3" s="75">
        <f>COUNTIFS(F:F,"1",I:I,"OCDL")</f>
        <v>0</v>
      </c>
      <c r="AE3" s="75">
        <f>COUNTIFS(F:F,"1",I:I,"TCDW")</f>
        <v>0</v>
      </c>
      <c r="AF3" s="75">
        <f>COUNTIFS(F:F,"1",I:I,"OCDW")</f>
        <v>0</v>
      </c>
      <c r="AG3" s="75">
        <f>COUNTIFS(F:F,"1",I:I,"TCDC")</f>
        <v>0</v>
      </c>
      <c r="AH3" s="75">
        <f>COUNTIFS(F:F,"1",I:I,"OCDC")</f>
        <v>0</v>
      </c>
      <c r="AI3" s="75">
        <f>COUNTIFS(F:F,"1",I:I,"TCP")</f>
        <v>0</v>
      </c>
      <c r="AJ3" s="75">
        <f>COUNTIFS(F:F,"1",I:I,"OCP")</f>
        <v>0</v>
      </c>
      <c r="AK3" s="75">
        <f>COUNTIFS(F:F,"1",I:I,"RE")</f>
        <v>0</v>
      </c>
      <c r="AM3" s="110" t="s">
        <v>68</v>
      </c>
      <c r="AN3" s="75">
        <f>COUNTIFS(F:F,"1",K:K,"TP")</f>
        <v>0</v>
      </c>
      <c r="AO3" s="75">
        <f>COUNTIFS(F:F,"1",K:K,"SL")</f>
        <v>0</v>
      </c>
      <c r="AP3" s="75">
        <f>COUNTIFS(F:F,"1",K:K,"PS")</f>
        <v>0</v>
      </c>
      <c r="AQ3" s="75">
        <f>COUNTIFS(F:F,"1",K:K,"LS")</f>
        <v>0</v>
      </c>
      <c r="AR3" s="75">
        <f>COUNTIFS(F:F,"1",K:K,"RF")</f>
        <v>0</v>
      </c>
      <c r="AS3" s="75">
        <f>COUNTIFS(F:F,"1",K:K,"OT +")</f>
        <v>0</v>
      </c>
      <c r="AT3" s="75">
        <f>COUNTIFS(F:F,"1",K:K,"OT -")</f>
        <v>0</v>
      </c>
      <c r="AU3" s="76" t="e">
        <f t="shared" ref="AU3:AU14" si="0">SUM(AN3,AP3,AR3,AS3)/Z3</f>
        <v>#DIV/0!</v>
      </c>
      <c r="AV3" s="80" t="e">
        <f>SMALL(AU3:AU14,12)</f>
        <v>#DIV/0!</v>
      </c>
      <c r="AX3" s="110" t="s">
        <v>68</v>
      </c>
      <c r="AY3" s="76">
        <f>SUMIF(F:F,"1",M:M)</f>
        <v>0</v>
      </c>
      <c r="AZ3" s="80">
        <f>SMALL(AY3:AY14,12)</f>
        <v>0</v>
      </c>
      <c r="BB3" s="142" t="s">
        <v>36</v>
      </c>
      <c r="BC3" s="143" t="s">
        <v>28</v>
      </c>
      <c r="BD3" s="144" t="s">
        <v>37</v>
      </c>
      <c r="BE3" s="145" t="s">
        <v>38</v>
      </c>
      <c r="BF3" s="146" t="s">
        <v>39</v>
      </c>
      <c r="BI3" s="147" t="s">
        <v>43</v>
      </c>
      <c r="BJ3" s="158" t="s">
        <v>27</v>
      </c>
      <c r="BK3" s="158" t="s">
        <v>29</v>
      </c>
      <c r="BL3" s="158" t="s">
        <v>30</v>
      </c>
      <c r="BM3" s="158" t="s">
        <v>31</v>
      </c>
      <c r="BN3" s="158" t="s">
        <v>32</v>
      </c>
      <c r="BO3" s="158" t="s">
        <v>33</v>
      </c>
      <c r="BP3" s="158" t="s">
        <v>34</v>
      </c>
    </row>
    <row r="4" spans="3:68" ht="23.25" customHeight="1" x14ac:dyDescent="0.25">
      <c r="C4" s="141">
        <v>1</v>
      </c>
      <c r="D4" s="130"/>
      <c r="E4" s="131"/>
      <c r="F4" s="132"/>
      <c r="G4" s="133"/>
      <c r="H4" s="134"/>
      <c r="I4" s="134"/>
      <c r="J4" s="135"/>
      <c r="K4" s="134"/>
      <c r="L4" s="134"/>
      <c r="M4" s="136"/>
      <c r="N4" s="248"/>
      <c r="O4" s="249"/>
      <c r="P4" s="249"/>
      <c r="Q4" s="249"/>
      <c r="R4" s="249"/>
      <c r="S4" s="249"/>
      <c r="T4" s="249"/>
      <c r="U4" s="249"/>
      <c r="V4" s="249"/>
      <c r="W4" s="253"/>
      <c r="Y4" s="110" t="s">
        <v>69</v>
      </c>
      <c r="Z4" s="48">
        <f>COUNTIF(F:F,"2")</f>
        <v>0</v>
      </c>
      <c r="AA4" s="48">
        <f>COUNTIFS(F:F,"2",I:I,"TCDP")</f>
        <v>0</v>
      </c>
      <c r="AB4" s="48">
        <f>COUNTIFS(F:F,"2",I:I,"OCDP")</f>
        <v>0</v>
      </c>
      <c r="AC4" s="48">
        <f>COUNTIFS(F:F,"2",I:I,"TCDL")</f>
        <v>0</v>
      </c>
      <c r="AD4" s="48">
        <f>COUNTIFS(F:F,"2",I:I,"OCDL")</f>
        <v>0</v>
      </c>
      <c r="AE4" s="48">
        <f>COUNTIFS(F:F,"2",I:I,"TCDW")</f>
        <v>0</v>
      </c>
      <c r="AF4" s="48">
        <f>COUNTIFS(F:F,"2",I:I,"OCDW")</f>
        <v>0</v>
      </c>
      <c r="AG4" s="48">
        <f>COUNTIFS(F:F,"2",I:I,"TCDC")</f>
        <v>0</v>
      </c>
      <c r="AH4" s="48">
        <f>COUNTIFS(F:F,"2",I:I,"TCDC")</f>
        <v>0</v>
      </c>
      <c r="AI4" s="48">
        <f>COUNTIFS(F:F,"2",I:I,"TCP")</f>
        <v>0</v>
      </c>
      <c r="AJ4" s="48">
        <f>COUNTIFS(F:F,"2",I:I,"OCP")</f>
        <v>0</v>
      </c>
      <c r="AK4" s="48">
        <f>COUNTIFS(F:F,"2",I:I,"RE")</f>
        <v>0</v>
      </c>
      <c r="AM4" s="110" t="s">
        <v>69</v>
      </c>
      <c r="AN4" s="48">
        <f>COUNTIFS(F:F,"2",K:K,"TP")</f>
        <v>0</v>
      </c>
      <c r="AO4" s="48">
        <f>COUNTIFS(F:F,"2",K:K,"SL")</f>
        <v>0</v>
      </c>
      <c r="AP4" s="48">
        <f>COUNTIFS(F:F,"2",K:K,"PS")</f>
        <v>0</v>
      </c>
      <c r="AQ4" s="48">
        <f>COUNTIFS(F:F,"2",K:K,"LS")</f>
        <v>0</v>
      </c>
      <c r="AR4" s="48">
        <f>COUNTIFS(F:F,"2",K:K,"RF")</f>
        <v>0</v>
      </c>
      <c r="AS4" s="48">
        <f>COUNTIFS(F:F,"2",K:K,"OT +")</f>
        <v>0</v>
      </c>
      <c r="AT4" s="48">
        <f>COUNTIFS(F:F,"2",K:K,"OT -")</f>
        <v>0</v>
      </c>
      <c r="AU4" s="77" t="e">
        <f t="shared" si="0"/>
        <v>#DIV/0!</v>
      </c>
      <c r="AV4" s="81" t="e">
        <f>SMALL(AU3:AU14,11)</f>
        <v>#DIV/0!</v>
      </c>
      <c r="AX4" s="110" t="s">
        <v>69</v>
      </c>
      <c r="AY4" s="155">
        <f>SUMIF(F:F,"2",M:M)</f>
        <v>0</v>
      </c>
      <c r="AZ4" s="81">
        <f>SMALL(AY3:AY14,11)</f>
        <v>0</v>
      </c>
      <c r="BB4" s="48">
        <f>COUNTIFS(K:K,"TP",L:L,"SF")</f>
        <v>0</v>
      </c>
      <c r="BC4" s="48">
        <f>COUNTIFS(K:K,"TP",L:L,"TC")</f>
        <v>0</v>
      </c>
      <c r="BD4" s="48">
        <f>COUNTIFS(K:K,"TP",L:L,"DC")</f>
        <v>0</v>
      </c>
      <c r="BE4" s="48">
        <f>COUNTIFS(K:K,"TP",L:L,"Keep Went")</f>
        <v>0</v>
      </c>
      <c r="BF4" s="48">
        <f>COUNTIFS(K:K,"TP",L:L,"RNG")</f>
        <v>0</v>
      </c>
      <c r="BI4" s="48">
        <f>SUM(BJ4:BP4)</f>
        <v>0</v>
      </c>
      <c r="BJ4" s="48">
        <f>COUNTIF(K:K,"TP")</f>
        <v>0</v>
      </c>
      <c r="BK4" s="48">
        <f>COUNTIF(K:K,"SL")</f>
        <v>0</v>
      </c>
      <c r="BL4" s="48">
        <f>COUNTIF(K:K,"PS")</f>
        <v>0</v>
      </c>
      <c r="BM4" s="48">
        <f>COUNTIF(K:K,"LS")</f>
        <v>0</v>
      </c>
      <c r="BN4" s="48">
        <f>COUNTIF(K:K,"RF")</f>
        <v>0</v>
      </c>
      <c r="BO4" s="48">
        <f>COUNTIF(K:K,"OT +")</f>
        <v>0</v>
      </c>
      <c r="BP4" s="48">
        <f>COUNTIF(K:K,"OT -")</f>
        <v>0</v>
      </c>
    </row>
    <row r="5" spans="3:68" ht="23.25" customHeight="1" x14ac:dyDescent="0.25">
      <c r="C5" s="88">
        <v>2</v>
      </c>
      <c r="D5" s="130"/>
      <c r="E5" s="131"/>
      <c r="F5" s="132"/>
      <c r="G5" s="133"/>
      <c r="H5" s="134"/>
      <c r="I5" s="134"/>
      <c r="J5" s="135"/>
      <c r="K5" s="134"/>
      <c r="L5" s="134"/>
      <c r="M5" s="136"/>
      <c r="N5" s="246"/>
      <c r="O5" s="247"/>
      <c r="P5" s="247"/>
      <c r="Q5" s="247"/>
      <c r="R5" s="247"/>
      <c r="S5" s="247"/>
      <c r="T5" s="247"/>
      <c r="U5" s="247"/>
      <c r="V5" s="247"/>
      <c r="W5" s="253"/>
      <c r="Y5" s="110" t="s">
        <v>70</v>
      </c>
      <c r="Z5" s="75">
        <f>COUNTIF(F:F,"3")</f>
        <v>0</v>
      </c>
      <c r="AA5" s="75">
        <f>COUNTIFS(F:F,"3",I:I,"TCDP")</f>
        <v>0</v>
      </c>
      <c r="AB5" s="75">
        <f>COUNTIFS(F:F,"3",I:I,"OCDP")</f>
        <v>0</v>
      </c>
      <c r="AC5" s="75">
        <f>COUNTIFS(F:F,"3",I:I,"TCDL")</f>
        <v>0</v>
      </c>
      <c r="AD5" s="75">
        <f>COUNTIFS(F:F,"3",I:I,"OCDL")</f>
        <v>0</v>
      </c>
      <c r="AE5" s="75">
        <f>COUNTIFS(F:F,"3",I:I,"TCDW")</f>
        <v>0</v>
      </c>
      <c r="AF5" s="75">
        <f>COUNTIFS(F:F,"3",I:I,"OCDW")</f>
        <v>0</v>
      </c>
      <c r="AG5" s="75">
        <f>COUNTIFS(F:F,"3",I:I,"TCDC")</f>
        <v>0</v>
      </c>
      <c r="AH5" s="75">
        <f>COUNTIFS(F:F,"3",I:I,"TCDC")</f>
        <v>0</v>
      </c>
      <c r="AI5" s="75">
        <f>COUNTIFS(F:F,"3",I:I,"TCP")</f>
        <v>0</v>
      </c>
      <c r="AJ5" s="75">
        <f>COUNTIFS(F:F,"3",I:I,"OCP")</f>
        <v>0</v>
      </c>
      <c r="AK5" s="75">
        <f>COUNTIFS(F:F,"3",I:I,"RE")</f>
        <v>0</v>
      </c>
      <c r="AM5" s="110" t="s">
        <v>70</v>
      </c>
      <c r="AN5" s="75">
        <f>COUNTIFS(F:F,"3",K:K,"TP")</f>
        <v>0</v>
      </c>
      <c r="AO5" s="75">
        <f>COUNTIFS(F:F,"3",K:K,"SL")</f>
        <v>0</v>
      </c>
      <c r="AP5" s="75">
        <f>COUNTIFS(F:F,"3",K:K,"PS")</f>
        <v>0</v>
      </c>
      <c r="AQ5" s="75">
        <f>COUNTIFS(F:F,"3",K:K,"LS")</f>
        <v>0</v>
      </c>
      <c r="AR5" s="75">
        <f>COUNTIFS(F:F,"3",K:K,"RF")</f>
        <v>0</v>
      </c>
      <c r="AS5" s="75">
        <f>COUNTIFS(F:F,"3",K:K,"OT +")</f>
        <v>0</v>
      </c>
      <c r="AT5" s="75">
        <f>COUNTIFS(F:F,"3",K:K,"OT -")</f>
        <v>0</v>
      </c>
      <c r="AU5" s="76" t="e">
        <f t="shared" si="0"/>
        <v>#DIV/0!</v>
      </c>
      <c r="AV5" s="82" t="e">
        <f>SMALL(AU3:AU14,10)</f>
        <v>#DIV/0!</v>
      </c>
      <c r="AX5" s="110" t="s">
        <v>70</v>
      </c>
      <c r="AY5" s="76">
        <f>SUMIF(F:F,"3",M:M)</f>
        <v>0</v>
      </c>
      <c r="AZ5" s="82">
        <f>SMALL(AY3:AY14,10)</f>
        <v>0</v>
      </c>
      <c r="BI5" s="50" t="e">
        <f>BI4/BI4</f>
        <v>#DIV/0!</v>
      </c>
      <c r="BJ5" s="50" t="e">
        <f>BJ4/BI4</f>
        <v>#DIV/0!</v>
      </c>
      <c r="BK5" s="50" t="e">
        <f>BK4/BI4</f>
        <v>#DIV/0!</v>
      </c>
      <c r="BL5" s="50" t="e">
        <f>BL4/BI4</f>
        <v>#DIV/0!</v>
      </c>
      <c r="BM5" s="50" t="e">
        <f>BM4/BI4</f>
        <v>#DIV/0!</v>
      </c>
      <c r="BN5" s="50" t="e">
        <f>BN4/BI4</f>
        <v>#DIV/0!</v>
      </c>
      <c r="BO5" s="50" t="e">
        <f>BO4/BI4</f>
        <v>#DIV/0!</v>
      </c>
      <c r="BP5" s="50" t="e">
        <f>BP4/BI4</f>
        <v>#DIV/0!</v>
      </c>
    </row>
    <row r="6" spans="3:68" ht="21.75" customHeight="1" x14ac:dyDescent="0.25">
      <c r="C6" s="88">
        <v>3</v>
      </c>
      <c r="D6" s="130"/>
      <c r="E6" s="131"/>
      <c r="F6" s="132"/>
      <c r="G6" s="133"/>
      <c r="H6" s="134"/>
      <c r="I6" s="134"/>
      <c r="J6" s="135"/>
      <c r="K6" s="134"/>
      <c r="L6" s="134"/>
      <c r="M6" s="136"/>
      <c r="N6" s="248"/>
      <c r="O6" s="249"/>
      <c r="P6" s="249"/>
      <c r="Q6" s="249"/>
      <c r="R6" s="249"/>
      <c r="S6" s="249"/>
      <c r="T6" s="249"/>
      <c r="U6" s="249"/>
      <c r="V6" s="249"/>
      <c r="W6" s="253"/>
      <c r="Y6" s="110" t="s">
        <v>71</v>
      </c>
      <c r="Z6" s="48">
        <f>COUNTIF(F:F,"4")</f>
        <v>0</v>
      </c>
      <c r="AA6" s="48">
        <f>COUNTIFS(F:F,"4",I:I,"TCDP")</f>
        <v>0</v>
      </c>
      <c r="AB6" s="48">
        <f>COUNTIFS(F:F,"4",I:I,"OCDP")</f>
        <v>0</v>
      </c>
      <c r="AC6" s="48">
        <f>COUNTIFS(F:F,"4",I:I,"TCDL")</f>
        <v>0</v>
      </c>
      <c r="AD6" s="48">
        <f>COUNTIFS(F:F,"4",I:I,"OCDL")</f>
        <v>0</v>
      </c>
      <c r="AE6" s="48">
        <f>COUNTIFS(F:F,"4",I:I,"TCDW")</f>
        <v>0</v>
      </c>
      <c r="AF6" s="48">
        <f>COUNTIFS(F:F,"4",I:I,"OCDW")</f>
        <v>0</v>
      </c>
      <c r="AG6" s="48">
        <f>COUNTIFS(F:F,"4",I:I,"TCDC")</f>
        <v>0</v>
      </c>
      <c r="AH6" s="48">
        <f>COUNTIFS(F:F,"4",I:I,"TCDC")</f>
        <v>0</v>
      </c>
      <c r="AI6" s="48">
        <f>COUNTIFS(F:F,"4",I:I,"TCP")</f>
        <v>0</v>
      </c>
      <c r="AJ6" s="48">
        <f>COUNTIFS(F:F,"4",I:I,"OCP")</f>
        <v>0</v>
      </c>
      <c r="AK6" s="48">
        <f>COUNTIFS(F:F,"4",I:I,"RE")</f>
        <v>0</v>
      </c>
      <c r="AM6" s="110" t="s">
        <v>71</v>
      </c>
      <c r="AN6" s="48">
        <f>COUNTIFS(F:F,"4",K:K,"TP")</f>
        <v>0</v>
      </c>
      <c r="AO6" s="48">
        <f>COUNTIFS(F:F,"4",K:K,"SL")</f>
        <v>0</v>
      </c>
      <c r="AP6" s="48">
        <f>COUNTIFS(F:F,"4",K:K,"PS")</f>
        <v>0</v>
      </c>
      <c r="AQ6" s="48">
        <f>COUNTIFS(F:F,"4",K:K,"LS")</f>
        <v>0</v>
      </c>
      <c r="AR6" s="48">
        <f>COUNTIFS(F:F,"4",K:K,"RF")</f>
        <v>0</v>
      </c>
      <c r="AS6" s="48">
        <f>COUNTIFS(F:F,"4",K:K,"OT +")</f>
        <v>0</v>
      </c>
      <c r="AT6" s="48">
        <f>COUNTIFS(F:F,"4",K:K,"OT -")</f>
        <v>0</v>
      </c>
      <c r="AU6" s="77" t="e">
        <f t="shared" si="0"/>
        <v>#DIV/0!</v>
      </c>
      <c r="AV6" s="83" t="e">
        <f>SMALL(AU3:AU14,9)</f>
        <v>#DIV/0!</v>
      </c>
      <c r="AX6" s="110" t="s">
        <v>71</v>
      </c>
      <c r="AY6" s="155">
        <f>SUMIF(F:F,"4",M:M)</f>
        <v>0</v>
      </c>
      <c r="AZ6" s="83">
        <f>SMALL(AY3:AY14,9)</f>
        <v>0</v>
      </c>
      <c r="BB6" s="250" t="s">
        <v>30</v>
      </c>
      <c r="BC6" s="251"/>
      <c r="BD6" s="251"/>
      <c r="BE6" s="251"/>
      <c r="BF6" s="252"/>
    </row>
    <row r="7" spans="3:68" ht="19.5" customHeight="1" x14ac:dyDescent="0.25">
      <c r="C7" s="88">
        <v>4</v>
      </c>
      <c r="D7" s="130"/>
      <c r="E7" s="131"/>
      <c r="F7" s="132"/>
      <c r="G7" s="133"/>
      <c r="H7" s="134"/>
      <c r="I7" s="134"/>
      <c r="J7" s="135"/>
      <c r="K7" s="134"/>
      <c r="L7" s="134"/>
      <c r="M7" s="136"/>
      <c r="N7" s="246"/>
      <c r="O7" s="247"/>
      <c r="P7" s="247"/>
      <c r="Q7" s="247"/>
      <c r="R7" s="247"/>
      <c r="S7" s="247"/>
      <c r="T7" s="247"/>
      <c r="U7" s="247"/>
      <c r="V7" s="247"/>
      <c r="W7" s="253"/>
      <c r="Y7" s="110" t="s">
        <v>72</v>
      </c>
      <c r="Z7" s="75">
        <f>COUNTIF(F:F,"5")</f>
        <v>0</v>
      </c>
      <c r="AA7" s="75">
        <f>COUNTIFS(F:F,"5",I:I,"TCDP")</f>
        <v>0</v>
      </c>
      <c r="AB7" s="75">
        <f>COUNTIFS(F:F,"5",I:I,"OCDP")</f>
        <v>0</v>
      </c>
      <c r="AC7" s="75">
        <f>COUNTIFS(F:F,"5",I:I,"TCDL")</f>
        <v>0</v>
      </c>
      <c r="AD7" s="75">
        <f>COUNTIFS(F:F,"5",I:I,"OCDL")</f>
        <v>0</v>
      </c>
      <c r="AE7" s="75">
        <f>COUNTIFS(F:F,"5",I:I,"TCDW")</f>
        <v>0</v>
      </c>
      <c r="AF7" s="75">
        <f>COUNTIFS(F:F,"5",I:I,"OCDW")</f>
        <v>0</v>
      </c>
      <c r="AG7" s="75">
        <f>COUNTIFS(F:F,"5",I:I,"TCDC")</f>
        <v>0</v>
      </c>
      <c r="AH7" s="75">
        <f>COUNTIFS(F:F,"5",I:I,"TCDC")</f>
        <v>0</v>
      </c>
      <c r="AI7" s="75">
        <f>COUNTIFS(F:F,"5",I:I,"TCP")</f>
        <v>0</v>
      </c>
      <c r="AJ7" s="75">
        <f>COUNTIFS(F:F,"5",I:I,"OCP")</f>
        <v>0</v>
      </c>
      <c r="AK7" s="75">
        <f>COUNTIFS(F:F,"5",I:I,"RE")</f>
        <v>0</v>
      </c>
      <c r="AM7" s="110" t="s">
        <v>72</v>
      </c>
      <c r="AN7" s="75">
        <f>COUNTIFS(F:F,"5",K:K,"TP")</f>
        <v>0</v>
      </c>
      <c r="AO7" s="75">
        <f>COUNTIFS(F:F,"5",K:K,"SL")</f>
        <v>0</v>
      </c>
      <c r="AP7" s="75">
        <f>COUNTIFS(F:F,"5",K:K,"PS")</f>
        <v>0</v>
      </c>
      <c r="AQ7" s="75">
        <f>COUNTIFS(F:F,"5",K:K,"LS")</f>
        <v>0</v>
      </c>
      <c r="AR7" s="75">
        <f>COUNTIFS(F:F,"5",K:K,"RF")</f>
        <v>0</v>
      </c>
      <c r="AS7" s="75">
        <f>COUNTIFS(F:F,"5",K:K,"OT +")</f>
        <v>0</v>
      </c>
      <c r="AT7" s="75">
        <f>COUNTIFS(F:F,"5",K:K,"OT -")</f>
        <v>0</v>
      </c>
      <c r="AU7" s="76" t="e">
        <f t="shared" si="0"/>
        <v>#DIV/0!</v>
      </c>
      <c r="AV7" s="85" t="e">
        <f>SMALL(AU3:AU14,8)</f>
        <v>#DIV/0!</v>
      </c>
      <c r="AX7" s="110" t="s">
        <v>72</v>
      </c>
      <c r="AY7" s="76">
        <f>SUMIF(F:F,"5",M:M)</f>
        <v>0</v>
      </c>
      <c r="AZ7" s="85">
        <f>SMALL(AY3:AY14,8)</f>
        <v>0</v>
      </c>
      <c r="BB7" s="142" t="s">
        <v>36</v>
      </c>
      <c r="BC7" s="143" t="s">
        <v>28</v>
      </c>
      <c r="BD7" s="144" t="s">
        <v>37</v>
      </c>
      <c r="BE7" s="145" t="s">
        <v>38</v>
      </c>
      <c r="BF7" s="146" t="s">
        <v>39</v>
      </c>
      <c r="BI7" s="148" t="s">
        <v>118</v>
      </c>
      <c r="BJ7" s="245">
        <f>SUM(AY3:AY14)</f>
        <v>0</v>
      </c>
      <c r="BK7" s="245"/>
    </row>
    <row r="8" spans="3:68" ht="21" customHeight="1" x14ac:dyDescent="0.25">
      <c r="C8" s="88">
        <v>5</v>
      </c>
      <c r="D8" s="130"/>
      <c r="E8" s="131"/>
      <c r="F8" s="132"/>
      <c r="G8" s="133"/>
      <c r="H8" s="134"/>
      <c r="I8" s="134"/>
      <c r="J8" s="135"/>
      <c r="K8" s="134"/>
      <c r="L8" s="134"/>
      <c r="M8" s="136"/>
      <c r="N8" s="248"/>
      <c r="O8" s="249"/>
      <c r="P8" s="249"/>
      <c r="Q8" s="249"/>
      <c r="R8" s="249"/>
      <c r="S8" s="249"/>
      <c r="T8" s="249"/>
      <c r="U8" s="249"/>
      <c r="V8" s="249"/>
      <c r="W8" s="253"/>
      <c r="Y8" s="110" t="s">
        <v>73</v>
      </c>
      <c r="Z8" s="48">
        <f>COUNTIF(F:F,"6")</f>
        <v>0</v>
      </c>
      <c r="AA8" s="48">
        <f>COUNTIFS(F:F,"6",I:I,"TCDP")</f>
        <v>0</v>
      </c>
      <c r="AB8" s="48">
        <f>COUNTIFS(F:F,"6",I:I,"OCDP")</f>
        <v>0</v>
      </c>
      <c r="AC8" s="48">
        <f>COUNTIFS(F:F,"6",I:I,"TCDL")</f>
        <v>0</v>
      </c>
      <c r="AD8" s="48">
        <f>COUNTIFS(F:F,"6",I:I,"OCDL")</f>
        <v>0</v>
      </c>
      <c r="AE8" s="48">
        <f>COUNTIFS(F:F,"6",I:I,"TCDW")</f>
        <v>0</v>
      </c>
      <c r="AF8" s="48">
        <f>COUNTIFS(F:F,"6",I:I,"OCDW")</f>
        <v>0</v>
      </c>
      <c r="AG8" s="48">
        <f>COUNTIFS(F:F,"6",I:I,"TCDC")</f>
        <v>0</v>
      </c>
      <c r="AH8" s="48">
        <f>COUNTIFS(F:F,"6",I:I,"TCDC")</f>
        <v>0</v>
      </c>
      <c r="AI8" s="48">
        <f>COUNTIFS(F:F,"6",I:I,"TCP")</f>
        <v>0</v>
      </c>
      <c r="AJ8" s="48">
        <f>COUNTIFS(F:F,"6",I:I,"OCP")</f>
        <v>0</v>
      </c>
      <c r="AK8" s="48">
        <f>COUNTIFS(F:F,"6",I:I,"RE")</f>
        <v>0</v>
      </c>
      <c r="AM8" s="110" t="s">
        <v>73</v>
      </c>
      <c r="AN8" s="48">
        <f>COUNTIFS(F:F,"6",K:K,"TP")</f>
        <v>0</v>
      </c>
      <c r="AO8" s="48">
        <f>COUNTIFS(F:F,"6",K:K,"SL")</f>
        <v>0</v>
      </c>
      <c r="AP8" s="48">
        <f>COUNTIFS(F:F,"6",K:K,"PS")</f>
        <v>0</v>
      </c>
      <c r="AQ8" s="48">
        <f>COUNTIFS(F:F,"6",K:K,"LS")</f>
        <v>0</v>
      </c>
      <c r="AR8" s="48">
        <f>COUNTIFS(F:F,"6",K:K,"RF")</f>
        <v>0</v>
      </c>
      <c r="AS8" s="48">
        <f>COUNTIFS(F:F,"6",K:K,"OT +")</f>
        <v>0</v>
      </c>
      <c r="AT8" s="48">
        <f>COUNTIFS(F:F,"6",K:K,"OT -")</f>
        <v>0</v>
      </c>
      <c r="AU8" s="77" t="e">
        <f t="shared" si="0"/>
        <v>#DIV/0!</v>
      </c>
      <c r="AV8" s="85" t="e">
        <f>SMALL(AU3:AU14,7)</f>
        <v>#DIV/0!</v>
      </c>
      <c r="AX8" s="110" t="s">
        <v>73</v>
      </c>
      <c r="AY8" s="155">
        <f>SUMIF(F:F,"6",M:M)</f>
        <v>0</v>
      </c>
      <c r="AZ8" s="85">
        <f>SMALL(AY3:AY14,7)</f>
        <v>0</v>
      </c>
      <c r="BB8" s="48">
        <f>COUNTIFS(K:K,"PS",L:L,"SF")</f>
        <v>0</v>
      </c>
      <c r="BC8" s="48">
        <f>COUNTIFS(K:K,"PS",L:L,"TC")</f>
        <v>0</v>
      </c>
      <c r="BD8" s="48">
        <f>COUNTIFS(K:K,"PS",L:L,"DC")</f>
        <v>0</v>
      </c>
      <c r="BE8" s="48">
        <f>COUNTIFS(K:K,"PS",L:L,"Keep Went")</f>
        <v>0</v>
      </c>
      <c r="BF8" s="48">
        <f>COUNTIFS(K:K,"PS",L:L,"RNG")</f>
        <v>0</v>
      </c>
      <c r="BI8" s="148" t="s">
        <v>119</v>
      </c>
      <c r="BJ8" s="245" t="e">
        <f>SUM(BJ4,BL4,BN4,BO4)/BI4</f>
        <v>#DIV/0!</v>
      </c>
      <c r="BK8" s="245"/>
    </row>
    <row r="9" spans="3:68" ht="18.75" customHeight="1" x14ac:dyDescent="0.25">
      <c r="C9" s="88">
        <v>6</v>
      </c>
      <c r="D9" s="130"/>
      <c r="E9" s="131"/>
      <c r="F9" s="132"/>
      <c r="G9" s="133"/>
      <c r="H9" s="134"/>
      <c r="I9" s="134"/>
      <c r="J9" s="135"/>
      <c r="K9" s="134"/>
      <c r="L9" s="134"/>
      <c r="M9" s="136"/>
      <c r="N9" s="246"/>
      <c r="O9" s="247"/>
      <c r="P9" s="247"/>
      <c r="Q9" s="247"/>
      <c r="R9" s="247"/>
      <c r="S9" s="247"/>
      <c r="T9" s="247"/>
      <c r="U9" s="247"/>
      <c r="V9" s="247"/>
      <c r="W9" s="253"/>
      <c r="Y9" s="110" t="s">
        <v>74</v>
      </c>
      <c r="Z9" s="75">
        <f>COUNTIF(F:F,"7")</f>
        <v>0</v>
      </c>
      <c r="AA9" s="75">
        <f>COUNTIFS(F:F,"7",I:I,"TCDP")</f>
        <v>0</v>
      </c>
      <c r="AB9" s="75">
        <f>COUNTIFS(F:F,"7",I:I,"OCDP")</f>
        <v>0</v>
      </c>
      <c r="AC9" s="75">
        <f>COUNTIFS(F:F,"7",I:I,"TCDL")</f>
        <v>0</v>
      </c>
      <c r="AD9" s="75">
        <f>COUNTIFS(F:F,"7",I:I,"OCDL")</f>
        <v>0</v>
      </c>
      <c r="AE9" s="75">
        <f>COUNTIFS(F:F,"7",I:I,"TCDW")</f>
        <v>0</v>
      </c>
      <c r="AF9" s="75">
        <f>COUNTIFS(F:F,"7",I:I,"OCDW")</f>
        <v>0</v>
      </c>
      <c r="AG9" s="75">
        <f>COUNTIFS(F:F,"7",I:I,"TCDC")</f>
        <v>0</v>
      </c>
      <c r="AH9" s="75">
        <f>COUNTIFS(F:F,"7",I:I,"TCDC")</f>
        <v>0</v>
      </c>
      <c r="AI9" s="75">
        <f>COUNTIFS(F:F,"7",I:I,"TCP")</f>
        <v>0</v>
      </c>
      <c r="AJ9" s="75">
        <f>COUNTIFS(F:F,"7",I:I,"OCP")</f>
        <v>0</v>
      </c>
      <c r="AK9" s="75">
        <f>COUNTIFS(F:F,"7",I:I,"RE")</f>
        <v>0</v>
      </c>
      <c r="AM9" s="110" t="s">
        <v>74</v>
      </c>
      <c r="AN9" s="75">
        <f>COUNTIFS(F:F,"7",K:K,"TP")</f>
        <v>0</v>
      </c>
      <c r="AO9" s="75">
        <f>COUNTIFS(F:F,"7",K:K,"SL")</f>
        <v>0</v>
      </c>
      <c r="AP9" s="75">
        <f>COUNTIFS(F:F,"7",K:K,"PS")</f>
        <v>0</v>
      </c>
      <c r="AQ9" s="75">
        <f>COUNTIFS(F:F,"7",K:K,"LS")</f>
        <v>0</v>
      </c>
      <c r="AR9" s="75">
        <f>COUNTIFS(F:F,"7",K:K,"RF")</f>
        <v>0</v>
      </c>
      <c r="AS9" s="75">
        <f>COUNTIFS(F:F,"7",K:K,"OT +")</f>
        <v>0</v>
      </c>
      <c r="AT9" s="75">
        <f>COUNTIFS(F:F,"7",K:K,"OT -")</f>
        <v>0</v>
      </c>
      <c r="AU9" s="76" t="e">
        <f t="shared" si="0"/>
        <v>#DIV/0!</v>
      </c>
      <c r="AV9" s="85" t="e">
        <f>SMALL(AU3:AU14,6)</f>
        <v>#DIV/0!</v>
      </c>
      <c r="AX9" s="110" t="s">
        <v>74</v>
      </c>
      <c r="AY9" s="76">
        <f>SUMIF(F:F,"7",M:M)</f>
        <v>0</v>
      </c>
      <c r="AZ9" s="85">
        <f>SMALL(AY3:AY14,6)</f>
        <v>0</v>
      </c>
    </row>
    <row r="10" spans="3:68" ht="18.75" customHeight="1" x14ac:dyDescent="0.25">
      <c r="C10" s="88">
        <v>7</v>
      </c>
      <c r="D10" s="130"/>
      <c r="E10" s="131"/>
      <c r="F10" s="132"/>
      <c r="G10" s="133"/>
      <c r="H10" s="134"/>
      <c r="I10" s="134"/>
      <c r="J10" s="135"/>
      <c r="K10" s="134"/>
      <c r="L10" s="134"/>
      <c r="M10" s="136"/>
      <c r="N10" s="248"/>
      <c r="O10" s="249"/>
      <c r="P10" s="249"/>
      <c r="Q10" s="249"/>
      <c r="R10" s="249"/>
      <c r="S10" s="249"/>
      <c r="T10" s="249"/>
      <c r="U10" s="249"/>
      <c r="V10" s="249"/>
      <c r="W10" s="253"/>
      <c r="Y10" s="110" t="s">
        <v>75</v>
      </c>
      <c r="Z10" s="48">
        <f>COUNTIF(F:F,"8")</f>
        <v>0</v>
      </c>
      <c r="AA10" s="48">
        <f>COUNTIFS(F:F,"8",I:I,"TCDP")</f>
        <v>0</v>
      </c>
      <c r="AB10" s="48">
        <f>COUNTIFS(F:F,"8",I:I,"OCDP")</f>
        <v>0</v>
      </c>
      <c r="AC10" s="48">
        <f>COUNTIFS(F:F,"8",I:I,"TCDL")</f>
        <v>0</v>
      </c>
      <c r="AD10" s="48">
        <f>COUNTIFS(F:F,"8",I:I,"OCDL")</f>
        <v>0</v>
      </c>
      <c r="AE10" s="48">
        <f>COUNTIFS(F:F,"8",I:I,"TCDW")</f>
        <v>0</v>
      </c>
      <c r="AF10" s="48">
        <f>COUNTIFS(F:F,"8",I:I,"OCDW")</f>
        <v>0</v>
      </c>
      <c r="AG10" s="48">
        <f>COUNTIFS(F:F,"8",I:I,"TCDC")</f>
        <v>0</v>
      </c>
      <c r="AH10" s="48">
        <f>COUNTIFS(F:F,"8",I:I,"TCDC")</f>
        <v>0</v>
      </c>
      <c r="AI10" s="48">
        <f>COUNTIFS(F:F,"8",I:I,"TCP")</f>
        <v>0</v>
      </c>
      <c r="AJ10" s="48">
        <f>COUNTIFS(F:F,"8",I:I,"OCP")</f>
        <v>0</v>
      </c>
      <c r="AK10" s="48">
        <f>COUNTIFS(F:F,"8",I:I,"RE")</f>
        <v>0</v>
      </c>
      <c r="AM10" s="110" t="s">
        <v>75</v>
      </c>
      <c r="AN10" s="48">
        <f>COUNTIFS(F:F,"8",K:K,"TP")</f>
        <v>0</v>
      </c>
      <c r="AO10" s="48">
        <f>COUNTIFS(F:F,"8",K:K,"SL")</f>
        <v>0</v>
      </c>
      <c r="AP10" s="48">
        <f>COUNTIFS(F:F,"8",K:K,"PS")</f>
        <v>0</v>
      </c>
      <c r="AQ10" s="48">
        <f>COUNTIFS(F:F,"8",K:K,"LS")</f>
        <v>0</v>
      </c>
      <c r="AR10" s="48">
        <f>COUNTIFS(F:F,"8",K:K,"RF")</f>
        <v>0</v>
      </c>
      <c r="AS10" s="48">
        <f>COUNTIFS(F:F,"8",K:K,"OT +")</f>
        <v>0</v>
      </c>
      <c r="AT10" s="48">
        <f>COUNTIFS(F:F,"8",K:K,"OT -")</f>
        <v>0</v>
      </c>
      <c r="AU10" s="77" t="e">
        <f t="shared" si="0"/>
        <v>#DIV/0!</v>
      </c>
      <c r="AV10" s="85" t="e">
        <f>SMALL(AU3:AU14,5)</f>
        <v>#DIV/0!</v>
      </c>
      <c r="AX10" s="110" t="s">
        <v>75</v>
      </c>
      <c r="AY10" s="155">
        <f>SUMIF(F:F,"8",M:M)</f>
        <v>0</v>
      </c>
      <c r="AZ10" s="85">
        <f>SMALL(AY3:AY14,5)</f>
        <v>0</v>
      </c>
      <c r="BB10" s="250" t="s">
        <v>31</v>
      </c>
      <c r="BC10" s="251"/>
      <c r="BD10" s="251"/>
      <c r="BE10" s="251"/>
      <c r="BF10" s="252"/>
    </row>
    <row r="11" spans="3:68" ht="20.25" customHeight="1" x14ac:dyDescent="0.25">
      <c r="C11" s="88">
        <v>8</v>
      </c>
      <c r="D11" s="130"/>
      <c r="E11" s="131"/>
      <c r="F11" s="132"/>
      <c r="G11" s="133"/>
      <c r="H11" s="134"/>
      <c r="I11" s="134"/>
      <c r="J11" s="135"/>
      <c r="K11" s="134"/>
      <c r="L11" s="134"/>
      <c r="M11" s="136"/>
      <c r="N11" s="246"/>
      <c r="O11" s="247"/>
      <c r="P11" s="247"/>
      <c r="Q11" s="247"/>
      <c r="R11" s="247"/>
      <c r="S11" s="247"/>
      <c r="T11" s="247"/>
      <c r="U11" s="247"/>
      <c r="V11" s="247"/>
      <c r="W11" s="253"/>
      <c r="Y11" s="110" t="s">
        <v>76</v>
      </c>
      <c r="Z11" s="75">
        <f>COUNTIF(F:F,"9")</f>
        <v>0</v>
      </c>
      <c r="AA11" s="75">
        <f>COUNTIFS(F:F,"9",I:I,"TCDP")</f>
        <v>0</v>
      </c>
      <c r="AB11" s="75">
        <f>COUNTIFS(F:F,"9",I:I,"OCDP")</f>
        <v>0</v>
      </c>
      <c r="AC11" s="75">
        <f>COUNTIFS(F:F,"9",I:I,"TCDL")</f>
        <v>0</v>
      </c>
      <c r="AD11" s="75">
        <f>COUNTIFS(F:F,"9",I:I,"OCDL")</f>
        <v>0</v>
      </c>
      <c r="AE11" s="75">
        <f>COUNTIFS(F:F,"9",I:I,"TCDW")</f>
        <v>0</v>
      </c>
      <c r="AF11" s="75">
        <f>COUNTIFS(F:F,"9",I:I,"OCDW")</f>
        <v>0</v>
      </c>
      <c r="AG11" s="75">
        <f>COUNTIFS(F:F,"9",I:I,"TCDC")</f>
        <v>0</v>
      </c>
      <c r="AH11" s="75">
        <f>COUNTIFS(F:F,"9",I:I,"TCDC")</f>
        <v>0</v>
      </c>
      <c r="AI11" s="75">
        <f>COUNTIFS(F:F,"9",I:I,"TCP")</f>
        <v>0</v>
      </c>
      <c r="AJ11" s="75">
        <f>COUNTIFS(F:F,"9",I:I,"OCP")</f>
        <v>0</v>
      </c>
      <c r="AK11" s="75">
        <f>COUNTIFS(F:F,"9",I:I,"RE")</f>
        <v>0</v>
      </c>
      <c r="AM11" s="110" t="s">
        <v>76</v>
      </c>
      <c r="AN11" s="75">
        <f>COUNTIFS(F:F,"9",K:K,"TP")</f>
        <v>0</v>
      </c>
      <c r="AO11" s="75">
        <f>COUNTIFS(F:F,"9",K:K,"SL")</f>
        <v>0</v>
      </c>
      <c r="AP11" s="75">
        <f>COUNTIFS(F:F,"9",K:K,"PS")</f>
        <v>0</v>
      </c>
      <c r="AQ11" s="75">
        <f>COUNTIFS(F:F,"9",K:K,"LS")</f>
        <v>0</v>
      </c>
      <c r="AR11" s="75">
        <f>COUNTIFS(F:F,"9",K:K,"RF")</f>
        <v>0</v>
      </c>
      <c r="AS11" s="75">
        <f>COUNTIFS(F:F,"9",K:K,"OT +")</f>
        <v>0</v>
      </c>
      <c r="AT11" s="75">
        <f>COUNTIFS(F:F,"9",K:K,"OT -")</f>
        <v>0</v>
      </c>
      <c r="AU11" s="76" t="e">
        <f t="shared" si="0"/>
        <v>#DIV/0!</v>
      </c>
      <c r="AV11" s="85" t="e">
        <f>SMALL(AU3:AU14,4)</f>
        <v>#DIV/0!</v>
      </c>
      <c r="AX11" s="110" t="s">
        <v>76</v>
      </c>
      <c r="AY11" s="76">
        <f>SUMIF(F:F,"9",M:M)</f>
        <v>0</v>
      </c>
      <c r="AZ11" s="85">
        <f>SMALL(AY3:AY14,4)</f>
        <v>0</v>
      </c>
      <c r="BB11" s="142" t="s">
        <v>36</v>
      </c>
      <c r="BC11" s="143" t="s">
        <v>28</v>
      </c>
      <c r="BD11" s="144" t="s">
        <v>37</v>
      </c>
      <c r="BE11" s="145" t="s">
        <v>38</v>
      </c>
      <c r="BF11" s="146" t="s">
        <v>39</v>
      </c>
    </row>
    <row r="12" spans="3:68" ht="18.75" customHeight="1" x14ac:dyDescent="0.25">
      <c r="C12" s="88">
        <v>9</v>
      </c>
      <c r="D12" s="130"/>
      <c r="E12" s="131"/>
      <c r="F12" s="132"/>
      <c r="G12" s="133"/>
      <c r="H12" s="134"/>
      <c r="I12" s="134"/>
      <c r="J12" s="135"/>
      <c r="K12" s="134"/>
      <c r="L12" s="134"/>
      <c r="M12" s="136"/>
      <c r="N12" s="248"/>
      <c r="O12" s="249"/>
      <c r="P12" s="249"/>
      <c r="Q12" s="249"/>
      <c r="R12" s="249"/>
      <c r="S12" s="249"/>
      <c r="T12" s="249"/>
      <c r="U12" s="249"/>
      <c r="V12" s="249"/>
      <c r="W12" s="253"/>
      <c r="Y12" s="110" t="s">
        <v>77</v>
      </c>
      <c r="Z12" s="48">
        <f>COUNTIF(F:F,"10")</f>
        <v>0</v>
      </c>
      <c r="AA12" s="48">
        <f>COUNTIFS(F:F,"10",I:I,"TCDP")</f>
        <v>0</v>
      </c>
      <c r="AB12" s="48">
        <f>COUNTIFS(F:F,"10",I:I,"OCDP")</f>
        <v>0</v>
      </c>
      <c r="AC12" s="48">
        <f>COUNTIFS(F:F,"10",I:I,"TCDL")</f>
        <v>0</v>
      </c>
      <c r="AD12" s="48">
        <f>COUNTIFS(F:F,"10",I:I,"OCDL")</f>
        <v>0</v>
      </c>
      <c r="AE12" s="48">
        <f>COUNTIFS(F:F,"10",I:I,"TCDW")</f>
        <v>0</v>
      </c>
      <c r="AF12" s="48">
        <f>COUNTIFS(F:F,"10",I:I,"OCDW")</f>
        <v>0</v>
      </c>
      <c r="AG12" s="48">
        <f>COUNTIFS(F:F,"10",I:I,"TCDC")</f>
        <v>0</v>
      </c>
      <c r="AH12" s="48">
        <f>COUNTIFS(F:F,"10",I:I,"TCDC")</f>
        <v>0</v>
      </c>
      <c r="AI12" s="48">
        <f>COUNTIFS(F:F,"10",I:I,"TCP")</f>
        <v>0</v>
      </c>
      <c r="AJ12" s="48">
        <f>COUNTIFS(F:F,"10",I:I,"OCP")</f>
        <v>0</v>
      </c>
      <c r="AK12" s="48">
        <f>COUNTIFS(F:F,"10",I:I,"RE")</f>
        <v>0</v>
      </c>
      <c r="AM12" s="110" t="s">
        <v>77</v>
      </c>
      <c r="AN12" s="48">
        <f>COUNTIFS(F:F,"10",K:K,"TP")</f>
        <v>0</v>
      </c>
      <c r="AO12" s="48">
        <f>COUNTIFS(F:F,"10",K:K,"SL")</f>
        <v>0</v>
      </c>
      <c r="AP12" s="48">
        <f>COUNTIFS(F:F,"10",K:K,"PS")</f>
        <v>0</v>
      </c>
      <c r="AQ12" s="48">
        <f>COUNTIFS(F:F,"10",K:K,"LS")</f>
        <v>0</v>
      </c>
      <c r="AR12" s="48">
        <f>COUNTIFS(F:F,"10",K:K,"RF")</f>
        <v>0</v>
      </c>
      <c r="AS12" s="48">
        <f>COUNTIFS(F:F,"10",K:K,"OT +")</f>
        <v>0</v>
      </c>
      <c r="AT12" s="48">
        <f>COUNTIFS(F:F,"10",K:K,"OT -")</f>
        <v>0</v>
      </c>
      <c r="AU12" s="77" t="e">
        <f t="shared" si="0"/>
        <v>#DIV/0!</v>
      </c>
      <c r="AV12" s="85" t="e">
        <f>SMALL(AU3:AU14,3)</f>
        <v>#DIV/0!</v>
      </c>
      <c r="AX12" s="110" t="s">
        <v>77</v>
      </c>
      <c r="AY12" s="155">
        <f>SUMIF(F:F,"10",M:M)</f>
        <v>0</v>
      </c>
      <c r="AZ12" s="85">
        <f>SMALL(AY3:AY14,3)</f>
        <v>0</v>
      </c>
      <c r="BB12" s="48">
        <f>COUNTIFS(K:K,"LS",L:L,"SF")</f>
        <v>0</v>
      </c>
      <c r="BC12" s="48">
        <f>COUNTIFS(K:K,"LS",L:L,"TC")</f>
        <v>0</v>
      </c>
      <c r="BD12" s="48">
        <f>COUNTIFS(K:K,"LS",L:L,"DC")</f>
        <v>0</v>
      </c>
      <c r="BE12" s="48">
        <f>COUNTIFS(K:K,"LS",L:L,"Keep Went")</f>
        <v>0</v>
      </c>
      <c r="BF12" s="48">
        <f>COUNTIFS(K:K,"LS",L:L,"RNG")</f>
        <v>0</v>
      </c>
    </row>
    <row r="13" spans="3:68" ht="20.25" customHeight="1" x14ac:dyDescent="0.25">
      <c r="C13" s="88">
        <v>10</v>
      </c>
      <c r="D13" s="130"/>
      <c r="E13" s="131"/>
      <c r="F13" s="132"/>
      <c r="G13" s="133"/>
      <c r="H13" s="134"/>
      <c r="I13" s="134"/>
      <c r="J13" s="135"/>
      <c r="K13" s="134"/>
      <c r="L13" s="134"/>
      <c r="M13" s="136"/>
      <c r="N13" s="246"/>
      <c r="O13" s="247"/>
      <c r="P13" s="247"/>
      <c r="Q13" s="247"/>
      <c r="R13" s="247"/>
      <c r="S13" s="247"/>
      <c r="T13" s="247"/>
      <c r="U13" s="247"/>
      <c r="V13" s="247"/>
      <c r="W13" s="253"/>
      <c r="Y13" s="110" t="s">
        <v>78</v>
      </c>
      <c r="Z13" s="75">
        <f>COUNTIF(F:F,"11")</f>
        <v>0</v>
      </c>
      <c r="AA13" s="75">
        <f>COUNTIFS(F:F,"11",I:I,"TCDP")</f>
        <v>0</v>
      </c>
      <c r="AB13" s="75">
        <f>COUNTIFS(F:F,"11",I:I,"OCDP")</f>
        <v>0</v>
      </c>
      <c r="AC13" s="75">
        <f>COUNTIFS(F:F,"11",I:I,"TCDL")</f>
        <v>0</v>
      </c>
      <c r="AD13" s="75">
        <f>COUNTIFS(F:F,"11",I:I,"OCDL")</f>
        <v>0</v>
      </c>
      <c r="AE13" s="75">
        <f>COUNTIFS(F:F,"11",I:I,"TCDW")</f>
        <v>0</v>
      </c>
      <c r="AF13" s="75">
        <f>COUNTIFS(F:F,"11",I:I,"OCDW")</f>
        <v>0</v>
      </c>
      <c r="AG13" s="75">
        <f>COUNTIFS(F:F,"11",I:I,"TCDC")</f>
        <v>0</v>
      </c>
      <c r="AH13" s="75">
        <f>COUNTIFS(F:F,"11",I:I,"TCDC")</f>
        <v>0</v>
      </c>
      <c r="AI13" s="75">
        <f>COUNTIFS(F:F,"11",I:I,"TCP")</f>
        <v>0</v>
      </c>
      <c r="AJ13" s="75">
        <f>COUNTIFS(F:F,"11",I:I,"OCP")</f>
        <v>0</v>
      </c>
      <c r="AK13" s="75">
        <f>COUNTIFS(F:F,"11",I:I,"RE")</f>
        <v>0</v>
      </c>
      <c r="AM13" s="110" t="s">
        <v>78</v>
      </c>
      <c r="AN13" s="75">
        <f>COUNTIFS(F:F,"11",K:K,"TP")</f>
        <v>0</v>
      </c>
      <c r="AO13" s="75">
        <f>COUNTIFS(F:F,"11",K:K,"SL")</f>
        <v>0</v>
      </c>
      <c r="AP13" s="75">
        <f>COUNTIFS(F:F,"11",K:K,"PS")</f>
        <v>0</v>
      </c>
      <c r="AQ13" s="75">
        <f>COUNTIFS(F:F,"11",K:K,"LS")</f>
        <v>0</v>
      </c>
      <c r="AR13" s="75">
        <f>COUNTIFS(F:F,"11",K:K,"RF")</f>
        <v>0</v>
      </c>
      <c r="AS13" s="75">
        <f>COUNTIFS(F:F,"11",K:K,"OT +")</f>
        <v>0</v>
      </c>
      <c r="AT13" s="75">
        <f>COUNTIFS(F:F,"11",K:K,"OT -")</f>
        <v>0</v>
      </c>
      <c r="AU13" s="76" t="e">
        <f t="shared" si="0"/>
        <v>#DIV/0!</v>
      </c>
      <c r="AV13" s="85" t="e">
        <f>SMALL(AU3:AU14,2)</f>
        <v>#DIV/0!</v>
      </c>
      <c r="AX13" s="110" t="s">
        <v>78</v>
      </c>
      <c r="AY13" s="76">
        <f>SUMIF(F:F,"11",M:M)</f>
        <v>0</v>
      </c>
      <c r="AZ13" s="85">
        <f>SMALL(AY3:AY14,2)</f>
        <v>0</v>
      </c>
    </row>
    <row r="14" spans="3:68" ht="18.75" customHeight="1" x14ac:dyDescent="0.25">
      <c r="C14" s="88">
        <v>11</v>
      </c>
      <c r="D14" s="130"/>
      <c r="E14" s="131"/>
      <c r="F14" s="132"/>
      <c r="G14" s="133"/>
      <c r="H14" s="134"/>
      <c r="I14" s="134"/>
      <c r="J14" s="135"/>
      <c r="K14" s="134"/>
      <c r="L14" s="134"/>
      <c r="M14" s="136"/>
      <c r="N14" s="248"/>
      <c r="O14" s="249"/>
      <c r="P14" s="249"/>
      <c r="Q14" s="249"/>
      <c r="R14" s="249"/>
      <c r="S14" s="249"/>
      <c r="T14" s="249"/>
      <c r="U14" s="249"/>
      <c r="V14" s="249"/>
      <c r="W14" s="253"/>
      <c r="Y14" s="110" t="s">
        <v>79</v>
      </c>
      <c r="Z14" s="48">
        <f>COUNTIF(F:F,"12")</f>
        <v>0</v>
      </c>
      <c r="AA14" s="48">
        <f>COUNTIFS(F:F,"12",I:I,"TCDP")</f>
        <v>0</v>
      </c>
      <c r="AB14" s="48">
        <f>COUNTIFS(F:F,"12",I:I,"OCDP")</f>
        <v>0</v>
      </c>
      <c r="AC14" s="48">
        <f>COUNTIFS(F:F,"12",I:I,"TCDL")</f>
        <v>0</v>
      </c>
      <c r="AD14" s="48">
        <f>COUNTIFS(F:F,"12",I:I,"OCDL")</f>
        <v>0</v>
      </c>
      <c r="AE14" s="48">
        <f>COUNTIFS(F:F,"12",I:I,"TCDW")</f>
        <v>0</v>
      </c>
      <c r="AF14" s="48">
        <f>COUNTIFS(F:F,"12",I:I,"OCDW")</f>
        <v>0</v>
      </c>
      <c r="AG14" s="48">
        <f>COUNTIFS(F:F,"12",I:I,"TCDC")</f>
        <v>0</v>
      </c>
      <c r="AH14" s="48">
        <f>COUNTIFS(F:F,"12",I:I,"TCDC")</f>
        <v>0</v>
      </c>
      <c r="AI14" s="48">
        <f>COUNTIFS(F:F,"12",I:I,"TCP")</f>
        <v>0</v>
      </c>
      <c r="AJ14" s="48">
        <f>COUNTIFS(F:F,"12",I:I,"OCP")</f>
        <v>0</v>
      </c>
      <c r="AK14" s="48">
        <f>COUNTIFS(F:F,"12",I:I,"RE")</f>
        <v>0</v>
      </c>
      <c r="AM14" s="110" t="s">
        <v>79</v>
      </c>
      <c r="AN14" s="48">
        <f>COUNTIFS(F:F,"12",K:K,"TP")</f>
        <v>0</v>
      </c>
      <c r="AO14" s="48">
        <f>COUNTIFS(F:F,"12",K:K,"SL")</f>
        <v>0</v>
      </c>
      <c r="AP14" s="48">
        <f>COUNTIFS(F:F,"12",K:K,"PS")</f>
        <v>0</v>
      </c>
      <c r="AQ14" s="48">
        <f>COUNTIFS(F:F,"12",K:K,"LS")</f>
        <v>0</v>
      </c>
      <c r="AR14" s="48">
        <f>COUNTIFS(F:F,"12",K:K,"RF")</f>
        <v>0</v>
      </c>
      <c r="AS14" s="48">
        <f>COUNTIFS(F:F,"12",K:K,"OT +")</f>
        <v>0</v>
      </c>
      <c r="AT14" s="48">
        <f>COUNTIFS(F:F,"12",K:K,"OT -")</f>
        <v>0</v>
      </c>
      <c r="AU14" s="77" t="e">
        <f t="shared" si="0"/>
        <v>#DIV/0!</v>
      </c>
      <c r="AV14" s="85" t="e">
        <f>SMALL(AU3:AU14,1)</f>
        <v>#DIV/0!</v>
      </c>
      <c r="AX14" s="110" t="s">
        <v>79</v>
      </c>
      <c r="AY14" s="155">
        <f>SUMIF(F:F,"12",M:M)</f>
        <v>0</v>
      </c>
      <c r="AZ14" s="85">
        <f>SMALL(AY3:AY14,1)</f>
        <v>0</v>
      </c>
      <c r="BB14" s="250" t="s">
        <v>29</v>
      </c>
      <c r="BC14" s="251"/>
      <c r="BD14" s="251"/>
      <c r="BE14" s="251"/>
      <c r="BF14" s="252"/>
    </row>
    <row r="15" spans="3:68" ht="19.5" customHeight="1" x14ac:dyDescent="0.25">
      <c r="C15" s="88">
        <v>12</v>
      </c>
      <c r="D15" s="130"/>
      <c r="E15" s="131"/>
      <c r="F15" s="132"/>
      <c r="G15" s="133"/>
      <c r="H15" s="134"/>
      <c r="I15" s="134"/>
      <c r="J15" s="135"/>
      <c r="K15" s="134"/>
      <c r="L15" s="134"/>
      <c r="M15" s="136"/>
      <c r="N15" s="246"/>
      <c r="O15" s="247"/>
      <c r="P15" s="247"/>
      <c r="Q15" s="247"/>
      <c r="R15" s="247"/>
      <c r="S15" s="247"/>
      <c r="T15" s="247"/>
      <c r="U15" s="247"/>
      <c r="V15" s="247"/>
      <c r="W15" s="253"/>
      <c r="Y15" s="110" t="s">
        <v>115</v>
      </c>
      <c r="Z15" s="75">
        <f t="shared" ref="Z15:AH15" si="1">SUM(Z3:Z14)</f>
        <v>0</v>
      </c>
      <c r="AA15" s="75">
        <f t="shared" si="1"/>
        <v>0</v>
      </c>
      <c r="AB15" s="75">
        <f t="shared" si="1"/>
        <v>0</v>
      </c>
      <c r="AC15" s="75">
        <f t="shared" si="1"/>
        <v>0</v>
      </c>
      <c r="AD15" s="75">
        <f t="shared" si="1"/>
        <v>0</v>
      </c>
      <c r="AE15" s="75">
        <f>SUM(AE3:AE14)</f>
        <v>0</v>
      </c>
      <c r="AF15" s="75">
        <f t="shared" si="1"/>
        <v>0</v>
      </c>
      <c r="AG15" s="75">
        <f t="shared" si="1"/>
        <v>0</v>
      </c>
      <c r="AH15" s="75">
        <f t="shared" si="1"/>
        <v>0</v>
      </c>
      <c r="AI15" s="75">
        <f>SUM(AI3:AI14)</f>
        <v>0</v>
      </c>
      <c r="AJ15" s="75">
        <f>SUM(AJ3:AJ14)</f>
        <v>0</v>
      </c>
      <c r="AK15" s="75">
        <f>SUM(AK3:AK14)</f>
        <v>0</v>
      </c>
      <c r="BB15" s="142" t="s">
        <v>36</v>
      </c>
      <c r="BC15" s="143" t="s">
        <v>28</v>
      </c>
      <c r="BD15" s="144" t="s">
        <v>37</v>
      </c>
      <c r="BE15" s="145" t="s">
        <v>38</v>
      </c>
      <c r="BF15" s="146" t="s">
        <v>39</v>
      </c>
    </row>
    <row r="16" spans="3:68" ht="19.5" customHeight="1" x14ac:dyDescent="0.25">
      <c r="C16" s="88">
        <v>13</v>
      </c>
      <c r="D16" s="130"/>
      <c r="E16" s="131"/>
      <c r="F16" s="132"/>
      <c r="G16" s="133"/>
      <c r="H16" s="134"/>
      <c r="I16" s="134"/>
      <c r="J16" s="135"/>
      <c r="K16" s="134"/>
      <c r="L16" s="134"/>
      <c r="M16" s="136"/>
      <c r="N16" s="248"/>
      <c r="O16" s="249"/>
      <c r="P16" s="249"/>
      <c r="Q16" s="249"/>
      <c r="R16" s="249"/>
      <c r="S16" s="249"/>
      <c r="T16" s="249"/>
      <c r="U16" s="249"/>
      <c r="V16" s="249"/>
      <c r="W16" s="253"/>
      <c r="BB16" s="48">
        <f>COUNTIFS(K:K,"SL",L:L,"SF")</f>
        <v>0</v>
      </c>
      <c r="BC16" s="48">
        <f>COUNTIFS(K:K,"SL",L:L,"TC")</f>
        <v>0</v>
      </c>
      <c r="BD16" s="48">
        <f>COUNTIFS(K:K,"SL",L:L,"DC")</f>
        <v>0</v>
      </c>
      <c r="BE16" s="48">
        <f>COUNTIFS(K:K,"SL",L:L,"Keep Went")</f>
        <v>0</v>
      </c>
      <c r="BF16" s="48">
        <f>COUNTIFS(K:K,"SL",L:L,"RNG")</f>
        <v>0</v>
      </c>
    </row>
    <row r="17" spans="3:58" ht="23.25" customHeight="1" x14ac:dyDescent="0.25">
      <c r="C17" s="88">
        <v>14</v>
      </c>
      <c r="D17" s="130"/>
      <c r="E17" s="131"/>
      <c r="F17" s="132"/>
      <c r="G17" s="133"/>
      <c r="H17" s="134"/>
      <c r="I17" s="134"/>
      <c r="J17" s="135"/>
      <c r="K17" s="134"/>
      <c r="L17" s="134"/>
      <c r="M17" s="136"/>
      <c r="N17" s="246"/>
      <c r="O17" s="247"/>
      <c r="P17" s="247"/>
      <c r="Q17" s="247"/>
      <c r="R17" s="247"/>
      <c r="S17" s="247"/>
      <c r="T17" s="247"/>
      <c r="U17" s="247"/>
      <c r="V17" s="247"/>
      <c r="W17" s="253"/>
      <c r="AO17" t="s">
        <v>117</v>
      </c>
    </row>
    <row r="18" spans="3:58" ht="22.5" customHeight="1" x14ac:dyDescent="0.25">
      <c r="C18" s="88">
        <v>15</v>
      </c>
      <c r="D18" s="130"/>
      <c r="E18" s="131"/>
      <c r="F18" s="132"/>
      <c r="G18" s="133"/>
      <c r="H18" s="134"/>
      <c r="I18" s="134"/>
      <c r="J18" s="135"/>
      <c r="K18" s="134"/>
      <c r="L18" s="134"/>
      <c r="M18" s="136"/>
      <c r="N18" s="248"/>
      <c r="O18" s="249"/>
      <c r="P18" s="249"/>
      <c r="Q18" s="249"/>
      <c r="R18" s="249"/>
      <c r="S18" s="249"/>
      <c r="T18" s="249"/>
      <c r="U18" s="249"/>
      <c r="V18" s="249"/>
      <c r="W18" s="253"/>
      <c r="BB18" s="250" t="s">
        <v>32</v>
      </c>
      <c r="BC18" s="251"/>
      <c r="BD18" s="251"/>
      <c r="BE18" s="251"/>
      <c r="BF18" s="252"/>
    </row>
    <row r="19" spans="3:58" ht="21.75" customHeight="1" x14ac:dyDescent="0.25">
      <c r="C19" s="88">
        <v>16</v>
      </c>
      <c r="D19" s="130"/>
      <c r="E19" s="131"/>
      <c r="F19" s="132"/>
      <c r="G19" s="133"/>
      <c r="H19" s="134"/>
      <c r="I19" s="134"/>
      <c r="J19" s="135"/>
      <c r="K19" s="134"/>
      <c r="L19" s="134"/>
      <c r="M19" s="136"/>
      <c r="N19" s="246"/>
      <c r="O19" s="247"/>
      <c r="P19" s="247"/>
      <c r="Q19" s="247"/>
      <c r="R19" s="247"/>
      <c r="S19" s="247"/>
      <c r="T19" s="247"/>
      <c r="U19" s="247"/>
      <c r="V19" s="247"/>
      <c r="W19" s="253"/>
      <c r="BB19" s="142" t="s">
        <v>36</v>
      </c>
      <c r="BC19" s="143" t="s">
        <v>28</v>
      </c>
      <c r="BD19" s="144" t="s">
        <v>37</v>
      </c>
      <c r="BE19" s="145" t="s">
        <v>38</v>
      </c>
      <c r="BF19" s="146" t="s">
        <v>39</v>
      </c>
    </row>
    <row r="20" spans="3:58" ht="21.75" customHeight="1" x14ac:dyDescent="0.25">
      <c r="C20" s="88">
        <v>17</v>
      </c>
      <c r="D20" s="130"/>
      <c r="E20" s="131"/>
      <c r="F20" s="132"/>
      <c r="G20" s="133"/>
      <c r="H20" s="134"/>
      <c r="I20" s="134"/>
      <c r="J20" s="135"/>
      <c r="K20" s="134"/>
      <c r="L20" s="134"/>
      <c r="M20" s="136"/>
      <c r="N20" s="248"/>
      <c r="O20" s="249"/>
      <c r="P20" s="249"/>
      <c r="Q20" s="249"/>
      <c r="R20" s="249"/>
      <c r="S20" s="249"/>
      <c r="T20" s="249"/>
      <c r="U20" s="249"/>
      <c r="V20" s="249"/>
      <c r="W20" s="253"/>
      <c r="BB20" s="48">
        <f>COUNTIFS(K:K,"RF",L:L,"SF")</f>
        <v>0</v>
      </c>
      <c r="BC20" s="48">
        <f>COUNTIFS(K:K,"RF",L:L,"TC")</f>
        <v>0</v>
      </c>
      <c r="BD20" s="48">
        <f>COUNTIFS(K:K,"RF",L:L,"DC")</f>
        <v>0</v>
      </c>
      <c r="BE20" s="48">
        <f>COUNTIFS(K:K,"RF",L:L,"Keep Went")</f>
        <v>0</v>
      </c>
      <c r="BF20" s="48">
        <f>COUNTIFS(K:K,"RF",L:L,"RNG")</f>
        <v>0</v>
      </c>
    </row>
    <row r="21" spans="3:58" ht="21.75" customHeight="1" x14ac:dyDescent="0.25">
      <c r="C21" s="88">
        <v>18</v>
      </c>
      <c r="D21" s="130"/>
      <c r="E21" s="131"/>
      <c r="F21" s="132"/>
      <c r="G21" s="133"/>
      <c r="H21" s="134"/>
      <c r="I21" s="134"/>
      <c r="J21" s="135"/>
      <c r="K21" s="134"/>
      <c r="L21" s="134"/>
      <c r="M21" s="136"/>
      <c r="N21" s="246"/>
      <c r="O21" s="247"/>
      <c r="P21" s="247"/>
      <c r="Q21" s="247"/>
      <c r="R21" s="247"/>
      <c r="S21" s="247"/>
      <c r="T21" s="247"/>
      <c r="U21" s="247"/>
      <c r="V21" s="247"/>
      <c r="W21" s="253"/>
    </row>
    <row r="22" spans="3:58" ht="21.75" customHeight="1" x14ac:dyDescent="0.25">
      <c r="C22" s="88">
        <v>19</v>
      </c>
      <c r="D22" s="130"/>
      <c r="E22" s="131"/>
      <c r="F22" s="132"/>
      <c r="G22" s="133"/>
      <c r="H22" s="134"/>
      <c r="I22" s="134"/>
      <c r="J22" s="135"/>
      <c r="K22" s="134"/>
      <c r="L22" s="134"/>
      <c r="M22" s="136"/>
      <c r="N22" s="248"/>
      <c r="O22" s="249"/>
      <c r="P22" s="249"/>
      <c r="Q22" s="249"/>
      <c r="R22" s="249"/>
      <c r="S22" s="249"/>
      <c r="T22" s="249"/>
      <c r="U22" s="249"/>
      <c r="V22" s="249"/>
      <c r="W22" s="253"/>
      <c r="BB22" s="250" t="s">
        <v>33</v>
      </c>
      <c r="BC22" s="251"/>
      <c r="BD22" s="251"/>
      <c r="BE22" s="251"/>
      <c r="BF22" s="252"/>
    </row>
    <row r="23" spans="3:58" ht="21" customHeight="1" x14ac:dyDescent="0.25">
      <c r="C23" s="88">
        <v>20</v>
      </c>
      <c r="D23" s="130"/>
      <c r="E23" s="131"/>
      <c r="F23" s="132"/>
      <c r="G23" s="133"/>
      <c r="H23" s="134"/>
      <c r="I23" s="134"/>
      <c r="J23" s="135"/>
      <c r="K23" s="134"/>
      <c r="L23" s="134"/>
      <c r="M23" s="136"/>
      <c r="N23" s="246"/>
      <c r="O23" s="247"/>
      <c r="P23" s="247"/>
      <c r="Q23" s="247"/>
      <c r="R23" s="247"/>
      <c r="S23" s="247"/>
      <c r="T23" s="247"/>
      <c r="U23" s="247"/>
      <c r="V23" s="247"/>
      <c r="W23" s="253"/>
      <c r="BB23" s="142" t="s">
        <v>36</v>
      </c>
      <c r="BC23" s="143" t="s">
        <v>28</v>
      </c>
      <c r="BD23" s="144" t="s">
        <v>37</v>
      </c>
      <c r="BE23" s="145" t="s">
        <v>38</v>
      </c>
      <c r="BF23" s="146" t="s">
        <v>39</v>
      </c>
    </row>
    <row r="24" spans="3:58" ht="20.25" customHeight="1" x14ac:dyDescent="0.25">
      <c r="C24" s="88">
        <v>21</v>
      </c>
      <c r="D24" s="130"/>
      <c r="E24" s="131"/>
      <c r="F24" s="132"/>
      <c r="G24" s="133"/>
      <c r="H24" s="134"/>
      <c r="I24" s="134"/>
      <c r="J24" s="135"/>
      <c r="K24" s="134"/>
      <c r="L24" s="134"/>
      <c r="M24" s="136"/>
      <c r="N24" s="248"/>
      <c r="O24" s="249"/>
      <c r="P24" s="249"/>
      <c r="Q24" s="249"/>
      <c r="R24" s="249"/>
      <c r="S24" s="249"/>
      <c r="T24" s="249"/>
      <c r="U24" s="249"/>
      <c r="V24" s="249"/>
      <c r="W24" s="253"/>
      <c r="BB24" s="48">
        <f>COUNTIFS(K:K,"OT +",L:L,"SF")</f>
        <v>0</v>
      </c>
      <c r="BC24" s="48">
        <f>COUNTIFS(K:K,"OT +",L:L,"TC")</f>
        <v>0</v>
      </c>
      <c r="BD24" s="48">
        <f>COUNTIFS(K:K,"OT +",L:L,"DC")</f>
        <v>0</v>
      </c>
      <c r="BE24" s="48">
        <f>COUNTIFS(K:K,"OT +",L:L,"Keep Went")</f>
        <v>0</v>
      </c>
      <c r="BF24" s="48">
        <f>COUNTIFS(K:K,"OT +",L:L,"RNG")</f>
        <v>0</v>
      </c>
    </row>
    <row r="25" spans="3:58" ht="24" customHeight="1" x14ac:dyDescent="0.25">
      <c r="C25" s="88">
        <v>22</v>
      </c>
      <c r="D25" s="130"/>
      <c r="E25" s="131"/>
      <c r="F25" s="132"/>
      <c r="G25" s="133"/>
      <c r="H25" s="134"/>
      <c r="I25" s="134"/>
      <c r="J25" s="135"/>
      <c r="K25" s="134"/>
      <c r="L25" s="134"/>
      <c r="M25" s="136"/>
      <c r="N25" s="246"/>
      <c r="O25" s="247"/>
      <c r="P25" s="247"/>
      <c r="Q25" s="247"/>
      <c r="R25" s="247"/>
      <c r="S25" s="247"/>
      <c r="T25" s="247"/>
      <c r="U25" s="247"/>
      <c r="V25" s="247"/>
      <c r="W25" s="253"/>
    </row>
    <row r="26" spans="3:58" ht="20.25" customHeight="1" x14ac:dyDescent="0.25">
      <c r="C26" s="88">
        <v>23</v>
      </c>
      <c r="D26" s="130"/>
      <c r="E26" s="131"/>
      <c r="F26" s="132"/>
      <c r="G26" s="133"/>
      <c r="H26" s="134"/>
      <c r="I26" s="134"/>
      <c r="J26" s="135"/>
      <c r="K26" s="134"/>
      <c r="L26" s="134"/>
      <c r="M26" s="136"/>
      <c r="N26" s="248"/>
      <c r="O26" s="249"/>
      <c r="P26" s="249"/>
      <c r="Q26" s="249"/>
      <c r="R26" s="249"/>
      <c r="S26" s="249"/>
      <c r="T26" s="249"/>
      <c r="U26" s="249"/>
      <c r="V26" s="249"/>
      <c r="W26" s="253"/>
      <c r="BB26" s="250" t="s">
        <v>34</v>
      </c>
      <c r="BC26" s="251"/>
      <c r="BD26" s="251"/>
      <c r="BE26" s="251"/>
      <c r="BF26" s="252"/>
    </row>
    <row r="27" spans="3:58" ht="19.5" customHeight="1" x14ac:dyDescent="0.25">
      <c r="C27" s="88">
        <v>24</v>
      </c>
      <c r="D27" s="130"/>
      <c r="E27" s="131"/>
      <c r="F27" s="132"/>
      <c r="G27" s="133"/>
      <c r="H27" s="134"/>
      <c r="I27" s="134"/>
      <c r="J27" s="135"/>
      <c r="K27" s="134"/>
      <c r="L27" s="134"/>
      <c r="M27" s="136"/>
      <c r="N27" s="246"/>
      <c r="O27" s="247"/>
      <c r="P27" s="247"/>
      <c r="Q27" s="247"/>
      <c r="R27" s="247"/>
      <c r="S27" s="247"/>
      <c r="T27" s="247"/>
      <c r="U27" s="247"/>
      <c r="V27" s="247"/>
      <c r="W27" s="253"/>
      <c r="BB27" s="142" t="s">
        <v>36</v>
      </c>
      <c r="BC27" s="143" t="s">
        <v>28</v>
      </c>
      <c r="BD27" s="144" t="s">
        <v>37</v>
      </c>
      <c r="BE27" s="145" t="s">
        <v>38</v>
      </c>
      <c r="BF27" s="146" t="s">
        <v>39</v>
      </c>
    </row>
    <row r="28" spans="3:58" ht="19.5" customHeight="1" x14ac:dyDescent="0.25">
      <c r="C28" s="88">
        <v>25</v>
      </c>
      <c r="D28" s="130"/>
      <c r="E28" s="131"/>
      <c r="F28" s="132"/>
      <c r="G28" s="133"/>
      <c r="H28" s="134"/>
      <c r="I28" s="134"/>
      <c r="J28" s="135"/>
      <c r="K28" s="134"/>
      <c r="L28" s="134"/>
      <c r="M28" s="136"/>
      <c r="N28" s="248"/>
      <c r="O28" s="249"/>
      <c r="P28" s="249"/>
      <c r="Q28" s="249"/>
      <c r="R28" s="249"/>
      <c r="S28" s="249"/>
      <c r="T28" s="249"/>
      <c r="U28" s="249"/>
      <c r="V28" s="249"/>
      <c r="W28" s="253"/>
      <c r="BB28" s="48">
        <f>COUNTIFS(K:K,"OT -",L:L,"SF")</f>
        <v>0</v>
      </c>
      <c r="BC28" s="48">
        <f>COUNTIFS(K:K,"OT -",L:L,"TC")</f>
        <v>0</v>
      </c>
      <c r="BD28" s="48">
        <f>COUNTIFS(K:K,"OT -",L:L,"DC")</f>
        <v>0</v>
      </c>
      <c r="BE28" s="48">
        <f>COUNTIFS(K:K,"OT -",L:L,"Keep Went")</f>
        <v>0</v>
      </c>
      <c r="BF28" s="48">
        <f>COUNTIFS(K:K,"OT -",L:L,"RNG")</f>
        <v>0</v>
      </c>
    </row>
    <row r="29" spans="3:58" ht="18.75" customHeight="1" x14ac:dyDescent="0.25">
      <c r="C29" s="88">
        <v>26</v>
      </c>
      <c r="D29" s="130"/>
      <c r="E29" s="131"/>
      <c r="F29" s="132"/>
      <c r="G29" s="133"/>
      <c r="H29" s="134"/>
      <c r="I29" s="134"/>
      <c r="J29" s="135"/>
      <c r="K29" s="134"/>
      <c r="L29" s="134"/>
      <c r="M29" s="136"/>
      <c r="N29" s="246"/>
      <c r="O29" s="247"/>
      <c r="P29" s="247"/>
      <c r="Q29" s="247"/>
      <c r="R29" s="247"/>
      <c r="S29" s="247"/>
      <c r="T29" s="247"/>
      <c r="U29" s="247"/>
      <c r="V29" s="247"/>
      <c r="W29" s="253"/>
    </row>
    <row r="30" spans="3:58" ht="18.75" customHeight="1" x14ac:dyDescent="0.25">
      <c r="C30" s="88">
        <v>27</v>
      </c>
      <c r="D30" s="130"/>
      <c r="E30" s="131"/>
      <c r="F30" s="132"/>
      <c r="G30" s="133"/>
      <c r="H30" s="134"/>
      <c r="I30" s="134"/>
      <c r="J30" s="135"/>
      <c r="K30" s="134"/>
      <c r="L30" s="134"/>
      <c r="M30" s="136"/>
      <c r="N30" s="248"/>
      <c r="O30" s="249"/>
      <c r="P30" s="249"/>
      <c r="Q30" s="249"/>
      <c r="R30" s="249"/>
      <c r="S30" s="249"/>
      <c r="T30" s="249"/>
      <c r="U30" s="249"/>
      <c r="V30" s="249"/>
      <c r="W30" s="253"/>
    </row>
    <row r="31" spans="3:58" ht="18.75" customHeight="1" x14ac:dyDescent="0.25">
      <c r="C31" s="88">
        <v>28</v>
      </c>
      <c r="D31" s="130"/>
      <c r="E31" s="131"/>
      <c r="F31" s="132"/>
      <c r="G31" s="133"/>
      <c r="H31" s="134"/>
      <c r="I31" s="134"/>
      <c r="J31" s="135"/>
      <c r="K31" s="134"/>
      <c r="L31" s="134"/>
      <c r="M31" s="136"/>
      <c r="N31" s="246"/>
      <c r="O31" s="247"/>
      <c r="P31" s="247"/>
      <c r="Q31" s="247"/>
      <c r="R31" s="247"/>
      <c r="S31" s="247"/>
      <c r="T31" s="247"/>
      <c r="U31" s="247"/>
      <c r="V31" s="247"/>
      <c r="W31" s="253"/>
    </row>
    <row r="32" spans="3:58" ht="18.75" customHeight="1" x14ac:dyDescent="0.25">
      <c r="C32" s="88">
        <v>29</v>
      </c>
      <c r="D32" s="130"/>
      <c r="E32" s="131"/>
      <c r="F32" s="132"/>
      <c r="G32" s="133"/>
      <c r="H32" s="134"/>
      <c r="I32" s="134"/>
      <c r="J32" s="135"/>
      <c r="K32" s="134"/>
      <c r="L32" s="134"/>
      <c r="M32" s="136"/>
      <c r="N32" s="248"/>
      <c r="O32" s="249"/>
      <c r="P32" s="249"/>
      <c r="Q32" s="249"/>
      <c r="R32" s="249"/>
      <c r="S32" s="249"/>
      <c r="T32" s="249"/>
      <c r="U32" s="249"/>
      <c r="V32" s="249"/>
      <c r="W32" s="253"/>
    </row>
    <row r="33" spans="3:23" ht="18.75" customHeight="1" x14ac:dyDescent="0.25">
      <c r="C33" s="88">
        <v>30</v>
      </c>
      <c r="D33" s="130"/>
      <c r="E33" s="131"/>
      <c r="F33" s="132"/>
      <c r="G33" s="133"/>
      <c r="H33" s="134"/>
      <c r="I33" s="134"/>
      <c r="J33" s="135"/>
      <c r="K33" s="134"/>
      <c r="L33" s="134"/>
      <c r="M33" s="136"/>
      <c r="N33" s="246"/>
      <c r="O33" s="247"/>
      <c r="P33" s="247"/>
      <c r="Q33" s="247"/>
      <c r="R33" s="247"/>
      <c r="S33" s="247"/>
      <c r="T33" s="247"/>
      <c r="U33" s="247"/>
      <c r="V33" s="247"/>
      <c r="W33" s="253"/>
    </row>
    <row r="34" spans="3:23" ht="18.75" customHeight="1" x14ac:dyDescent="0.25">
      <c r="C34" s="88">
        <v>31</v>
      </c>
      <c r="D34" s="130"/>
      <c r="E34" s="131"/>
      <c r="F34" s="132"/>
      <c r="G34" s="133"/>
      <c r="H34" s="134"/>
      <c r="I34" s="134"/>
      <c r="J34" s="135"/>
      <c r="K34" s="134"/>
      <c r="L34" s="134"/>
      <c r="M34" s="136"/>
      <c r="N34" s="248"/>
      <c r="O34" s="249"/>
      <c r="P34" s="249"/>
      <c r="Q34" s="249"/>
      <c r="R34" s="249"/>
      <c r="S34" s="249"/>
      <c r="T34" s="249"/>
      <c r="U34" s="249"/>
      <c r="V34" s="249"/>
      <c r="W34" s="253"/>
    </row>
    <row r="35" spans="3:23" ht="18.75" customHeight="1" x14ac:dyDescent="0.25">
      <c r="C35" s="88">
        <v>32</v>
      </c>
      <c r="D35" s="130"/>
      <c r="E35" s="131"/>
      <c r="F35" s="132"/>
      <c r="G35" s="133"/>
      <c r="H35" s="134"/>
      <c r="I35" s="134"/>
      <c r="J35" s="135"/>
      <c r="K35" s="134"/>
      <c r="L35" s="134"/>
      <c r="M35" s="136"/>
      <c r="N35" s="246"/>
      <c r="O35" s="247"/>
      <c r="P35" s="247"/>
      <c r="Q35" s="247"/>
      <c r="R35" s="247"/>
      <c r="S35" s="247"/>
      <c r="T35" s="247"/>
      <c r="U35" s="247"/>
      <c r="V35" s="247"/>
      <c r="W35" s="253"/>
    </row>
    <row r="36" spans="3:23" ht="18.75" customHeight="1" x14ac:dyDescent="0.25">
      <c r="C36" s="88">
        <v>33</v>
      </c>
      <c r="D36" s="130"/>
      <c r="E36" s="131"/>
      <c r="F36" s="132"/>
      <c r="G36" s="133"/>
      <c r="H36" s="134"/>
      <c r="I36" s="134"/>
      <c r="J36" s="135"/>
      <c r="K36" s="134"/>
      <c r="L36" s="134"/>
      <c r="M36" s="136"/>
      <c r="N36" s="248"/>
      <c r="O36" s="249"/>
      <c r="P36" s="249"/>
      <c r="Q36" s="249"/>
      <c r="R36" s="249"/>
      <c r="S36" s="249"/>
      <c r="T36" s="249"/>
      <c r="U36" s="249"/>
      <c r="V36" s="249"/>
      <c r="W36" s="253"/>
    </row>
    <row r="37" spans="3:23" ht="18.75" customHeight="1" x14ac:dyDescent="0.25">
      <c r="C37" s="88">
        <v>34</v>
      </c>
      <c r="D37" s="130"/>
      <c r="E37" s="131"/>
      <c r="F37" s="132"/>
      <c r="G37" s="133"/>
      <c r="H37" s="134"/>
      <c r="I37" s="134"/>
      <c r="J37" s="135"/>
      <c r="K37" s="134"/>
      <c r="L37" s="134"/>
      <c r="M37" s="136"/>
      <c r="N37" s="246"/>
      <c r="O37" s="247"/>
      <c r="P37" s="247"/>
      <c r="Q37" s="247"/>
      <c r="R37" s="247"/>
      <c r="S37" s="247"/>
      <c r="T37" s="247"/>
      <c r="U37" s="247"/>
      <c r="V37" s="247"/>
      <c r="W37" s="253"/>
    </row>
    <row r="38" spans="3:23" ht="18.75" customHeight="1" x14ac:dyDescent="0.25">
      <c r="C38" s="88">
        <v>35</v>
      </c>
      <c r="D38" s="130"/>
      <c r="E38" s="131"/>
      <c r="F38" s="132"/>
      <c r="G38" s="133"/>
      <c r="H38" s="134"/>
      <c r="I38" s="134"/>
      <c r="J38" s="135"/>
      <c r="K38" s="134"/>
      <c r="L38" s="134"/>
      <c r="M38" s="136"/>
      <c r="N38" s="248"/>
      <c r="O38" s="249"/>
      <c r="P38" s="249"/>
      <c r="Q38" s="249"/>
      <c r="R38" s="249"/>
      <c r="S38" s="249"/>
      <c r="T38" s="249"/>
      <c r="U38" s="249"/>
      <c r="V38" s="249"/>
      <c r="W38" s="253"/>
    </row>
    <row r="39" spans="3:23" ht="18.75" customHeight="1" x14ac:dyDescent="0.25">
      <c r="C39" s="88">
        <v>36</v>
      </c>
      <c r="D39" s="130"/>
      <c r="E39" s="131"/>
      <c r="F39" s="132"/>
      <c r="G39" s="133"/>
      <c r="H39" s="134"/>
      <c r="I39" s="134"/>
      <c r="J39" s="135"/>
      <c r="K39" s="134"/>
      <c r="L39" s="134"/>
      <c r="M39" s="136"/>
      <c r="N39" s="246"/>
      <c r="O39" s="247"/>
      <c r="P39" s="247"/>
      <c r="Q39" s="247"/>
      <c r="R39" s="247"/>
      <c r="S39" s="247"/>
      <c r="T39" s="247"/>
      <c r="U39" s="247"/>
      <c r="V39" s="247"/>
      <c r="W39" s="253"/>
    </row>
    <row r="40" spans="3:23" ht="18.75" customHeight="1" x14ac:dyDescent="0.25">
      <c r="C40" s="88">
        <v>37</v>
      </c>
      <c r="D40" s="130"/>
      <c r="E40" s="131"/>
      <c r="F40" s="132"/>
      <c r="G40" s="133"/>
      <c r="H40" s="134"/>
      <c r="I40" s="134"/>
      <c r="J40" s="135"/>
      <c r="K40" s="134"/>
      <c r="L40" s="134"/>
      <c r="M40" s="136"/>
      <c r="N40" s="248"/>
      <c r="O40" s="249"/>
      <c r="P40" s="249"/>
      <c r="Q40" s="249"/>
      <c r="R40" s="249"/>
      <c r="S40" s="249"/>
      <c r="T40" s="249"/>
      <c r="U40" s="249"/>
      <c r="V40" s="249"/>
      <c r="W40" s="253"/>
    </row>
    <row r="41" spans="3:23" ht="18.75" customHeight="1" x14ac:dyDescent="0.25">
      <c r="C41" s="88">
        <v>38</v>
      </c>
      <c r="D41" s="130"/>
      <c r="E41" s="131"/>
      <c r="F41" s="132"/>
      <c r="G41" s="133"/>
      <c r="H41" s="134"/>
      <c r="I41" s="134"/>
      <c r="J41" s="135"/>
      <c r="K41" s="134"/>
      <c r="L41" s="134"/>
      <c r="M41" s="136"/>
      <c r="N41" s="246"/>
      <c r="O41" s="247"/>
      <c r="P41" s="247"/>
      <c r="Q41" s="247"/>
      <c r="R41" s="247"/>
      <c r="S41" s="247"/>
      <c r="T41" s="247"/>
      <c r="U41" s="247"/>
      <c r="V41" s="247"/>
      <c r="W41" s="253"/>
    </row>
    <row r="42" spans="3:23" ht="18.75" customHeight="1" x14ac:dyDescent="0.25">
      <c r="C42" s="88">
        <v>39</v>
      </c>
      <c r="D42" s="130"/>
      <c r="E42" s="131"/>
      <c r="F42" s="132"/>
      <c r="G42" s="133"/>
      <c r="H42" s="134"/>
      <c r="I42" s="134"/>
      <c r="J42" s="135"/>
      <c r="K42" s="134"/>
      <c r="L42" s="134"/>
      <c r="M42" s="136"/>
      <c r="N42" s="248"/>
      <c r="O42" s="249"/>
      <c r="P42" s="249"/>
      <c r="Q42" s="249"/>
      <c r="R42" s="249"/>
      <c r="S42" s="249"/>
      <c r="T42" s="249"/>
      <c r="U42" s="249"/>
      <c r="V42" s="249"/>
      <c r="W42" s="253"/>
    </row>
    <row r="43" spans="3:23" ht="18.75" customHeight="1" x14ac:dyDescent="0.25">
      <c r="C43" s="88">
        <v>40</v>
      </c>
      <c r="D43" s="130"/>
      <c r="E43" s="131"/>
      <c r="F43" s="132"/>
      <c r="G43" s="133"/>
      <c r="H43" s="134"/>
      <c r="I43" s="134"/>
      <c r="J43" s="135"/>
      <c r="K43" s="134"/>
      <c r="L43" s="134"/>
      <c r="M43" s="136"/>
      <c r="N43" s="246"/>
      <c r="O43" s="247"/>
      <c r="P43" s="247"/>
      <c r="Q43" s="247"/>
      <c r="R43" s="247"/>
      <c r="S43" s="247"/>
      <c r="T43" s="247"/>
      <c r="U43" s="247"/>
      <c r="V43" s="247"/>
      <c r="W43" s="253"/>
    </row>
    <row r="44" spans="3:23" ht="18.75" customHeight="1" x14ac:dyDescent="0.25">
      <c r="C44" s="88">
        <v>41</v>
      </c>
      <c r="D44" s="130"/>
      <c r="E44" s="131"/>
      <c r="F44" s="132"/>
      <c r="G44" s="133"/>
      <c r="H44" s="134"/>
      <c r="I44" s="134"/>
      <c r="J44" s="135"/>
      <c r="K44" s="134"/>
      <c r="L44" s="134"/>
      <c r="M44" s="136"/>
      <c r="N44" s="248"/>
      <c r="O44" s="249"/>
      <c r="P44" s="249"/>
      <c r="Q44" s="249"/>
      <c r="R44" s="249"/>
      <c r="S44" s="249"/>
      <c r="T44" s="249"/>
      <c r="U44" s="249"/>
      <c r="V44" s="249"/>
      <c r="W44" s="253"/>
    </row>
    <row r="45" spans="3:23" ht="18.75" customHeight="1" x14ac:dyDescent="0.25">
      <c r="C45" s="88">
        <v>42</v>
      </c>
      <c r="D45" s="130"/>
      <c r="E45" s="131"/>
      <c r="F45" s="132"/>
      <c r="G45" s="133"/>
      <c r="H45" s="134"/>
      <c r="I45" s="134"/>
      <c r="J45" s="135"/>
      <c r="K45" s="134"/>
      <c r="L45" s="134"/>
      <c r="M45" s="136"/>
      <c r="N45" s="246"/>
      <c r="O45" s="247"/>
      <c r="P45" s="247"/>
      <c r="Q45" s="247"/>
      <c r="R45" s="247"/>
      <c r="S45" s="247"/>
      <c r="T45" s="247"/>
      <c r="U45" s="247"/>
      <c r="V45" s="247"/>
      <c r="W45" s="253"/>
    </row>
    <row r="46" spans="3:23" ht="18.75" customHeight="1" x14ac:dyDescent="0.25">
      <c r="C46" s="88">
        <v>43</v>
      </c>
      <c r="D46" s="130"/>
      <c r="E46" s="131"/>
      <c r="F46" s="132"/>
      <c r="G46" s="133"/>
      <c r="H46" s="134"/>
      <c r="I46" s="134"/>
      <c r="J46" s="135"/>
      <c r="K46" s="134"/>
      <c r="L46" s="134"/>
      <c r="M46" s="136"/>
      <c r="N46" s="248"/>
      <c r="O46" s="249"/>
      <c r="P46" s="249"/>
      <c r="Q46" s="249"/>
      <c r="R46" s="249"/>
      <c r="S46" s="249"/>
      <c r="T46" s="249"/>
      <c r="U46" s="249"/>
      <c r="V46" s="249"/>
      <c r="W46" s="253"/>
    </row>
    <row r="47" spans="3:23" ht="18.75" customHeight="1" x14ac:dyDescent="0.25">
      <c r="C47" s="88">
        <v>44</v>
      </c>
      <c r="D47" s="130"/>
      <c r="E47" s="131"/>
      <c r="F47" s="132"/>
      <c r="G47" s="133"/>
      <c r="H47" s="134"/>
      <c r="I47" s="134"/>
      <c r="J47" s="135"/>
      <c r="K47" s="134"/>
      <c r="L47" s="134"/>
      <c r="M47" s="136"/>
      <c r="N47" s="246"/>
      <c r="O47" s="247"/>
      <c r="P47" s="247"/>
      <c r="Q47" s="247"/>
      <c r="R47" s="247"/>
      <c r="S47" s="247"/>
      <c r="T47" s="247"/>
      <c r="U47" s="247"/>
      <c r="V47" s="247"/>
      <c r="W47" s="253"/>
    </row>
    <row r="48" spans="3:23" ht="18.75" customHeight="1" x14ac:dyDescent="0.25">
      <c r="C48" s="88">
        <v>45</v>
      </c>
      <c r="D48" s="130"/>
      <c r="E48" s="131"/>
      <c r="F48" s="132"/>
      <c r="G48" s="133"/>
      <c r="H48" s="134"/>
      <c r="I48" s="134"/>
      <c r="J48" s="135"/>
      <c r="K48" s="134"/>
      <c r="L48" s="134"/>
      <c r="M48" s="136"/>
      <c r="N48" s="248"/>
      <c r="O48" s="249"/>
      <c r="P48" s="249"/>
      <c r="Q48" s="249"/>
      <c r="R48" s="249"/>
      <c r="S48" s="249"/>
      <c r="T48" s="249"/>
      <c r="U48" s="249"/>
      <c r="V48" s="249"/>
      <c r="W48" s="253"/>
    </row>
    <row r="49" spans="3:23" ht="18.75" customHeight="1" x14ac:dyDescent="0.25">
      <c r="C49" s="88">
        <v>46</v>
      </c>
      <c r="D49" s="130"/>
      <c r="E49" s="131"/>
      <c r="F49" s="132"/>
      <c r="G49" s="133"/>
      <c r="H49" s="134"/>
      <c r="I49" s="134"/>
      <c r="J49" s="135"/>
      <c r="K49" s="134"/>
      <c r="L49" s="134"/>
      <c r="M49" s="136"/>
      <c r="N49" s="246"/>
      <c r="O49" s="247"/>
      <c r="P49" s="247"/>
      <c r="Q49" s="247"/>
      <c r="R49" s="247"/>
      <c r="S49" s="247"/>
      <c r="T49" s="247"/>
      <c r="U49" s="247"/>
      <c r="V49" s="247"/>
      <c r="W49" s="253"/>
    </row>
    <row r="50" spans="3:23" ht="18.75" customHeight="1" x14ac:dyDescent="0.25">
      <c r="C50" s="88">
        <v>47</v>
      </c>
      <c r="D50" s="130"/>
      <c r="E50" s="131"/>
      <c r="F50" s="132"/>
      <c r="G50" s="133"/>
      <c r="H50" s="134"/>
      <c r="I50" s="134"/>
      <c r="J50" s="135"/>
      <c r="K50" s="134"/>
      <c r="L50" s="134"/>
      <c r="M50" s="136"/>
      <c r="N50" s="248"/>
      <c r="O50" s="249"/>
      <c r="P50" s="249"/>
      <c r="Q50" s="249"/>
      <c r="R50" s="249"/>
      <c r="S50" s="249"/>
      <c r="T50" s="249"/>
      <c r="U50" s="249"/>
      <c r="V50" s="249"/>
      <c r="W50" s="253"/>
    </row>
    <row r="51" spans="3:23" ht="18.75" customHeight="1" x14ac:dyDescent="0.25">
      <c r="C51" s="88">
        <v>48</v>
      </c>
      <c r="D51" s="130"/>
      <c r="E51" s="131"/>
      <c r="F51" s="132"/>
      <c r="G51" s="133"/>
      <c r="H51" s="134"/>
      <c r="I51" s="134"/>
      <c r="J51" s="135"/>
      <c r="K51" s="134"/>
      <c r="L51" s="134"/>
      <c r="M51" s="136"/>
      <c r="N51" s="246"/>
      <c r="O51" s="247"/>
      <c r="P51" s="247"/>
      <c r="Q51" s="247"/>
      <c r="R51" s="247"/>
      <c r="S51" s="247"/>
      <c r="T51" s="247"/>
      <c r="U51" s="247"/>
      <c r="V51" s="247"/>
      <c r="W51" s="253"/>
    </row>
    <row r="52" spans="3:23" ht="18.75" customHeight="1" x14ac:dyDescent="0.25">
      <c r="C52" s="88">
        <v>49</v>
      </c>
      <c r="D52" s="130"/>
      <c r="E52" s="131"/>
      <c r="F52" s="132"/>
      <c r="G52" s="133"/>
      <c r="H52" s="134"/>
      <c r="I52" s="134"/>
      <c r="J52" s="135"/>
      <c r="K52" s="134"/>
      <c r="L52" s="134"/>
      <c r="M52" s="136"/>
      <c r="N52" s="248"/>
      <c r="O52" s="249"/>
      <c r="P52" s="249"/>
      <c r="Q52" s="249"/>
      <c r="R52" s="249"/>
      <c r="S52" s="249"/>
      <c r="T52" s="249"/>
      <c r="U52" s="249"/>
      <c r="V52" s="249"/>
      <c r="W52" s="253"/>
    </row>
    <row r="53" spans="3:23" ht="18.75" customHeight="1" x14ac:dyDescent="0.25">
      <c r="C53" s="88">
        <v>50</v>
      </c>
      <c r="D53" s="130"/>
      <c r="E53" s="131"/>
      <c r="F53" s="132"/>
      <c r="G53" s="133"/>
      <c r="H53" s="134"/>
      <c r="I53" s="134"/>
      <c r="J53" s="135"/>
      <c r="K53" s="134"/>
      <c r="L53" s="134"/>
      <c r="M53" s="136"/>
      <c r="N53" s="246"/>
      <c r="O53" s="247"/>
      <c r="P53" s="247"/>
      <c r="Q53" s="247"/>
      <c r="R53" s="247"/>
      <c r="S53" s="247"/>
      <c r="T53" s="247"/>
      <c r="U53" s="247"/>
      <c r="V53" s="247"/>
      <c r="W53" s="253"/>
    </row>
    <row r="54" spans="3:23" ht="18.75" customHeight="1" x14ac:dyDescent="0.25">
      <c r="C54" s="88">
        <v>51</v>
      </c>
      <c r="D54" s="130"/>
      <c r="E54" s="131"/>
      <c r="F54" s="132"/>
      <c r="G54" s="133"/>
      <c r="H54" s="134"/>
      <c r="I54" s="134"/>
      <c r="J54" s="135"/>
      <c r="K54" s="134"/>
      <c r="L54" s="134"/>
      <c r="M54" s="136"/>
      <c r="N54" s="248"/>
      <c r="O54" s="249"/>
      <c r="P54" s="249"/>
      <c r="Q54" s="249"/>
      <c r="R54" s="249"/>
      <c r="S54" s="249"/>
      <c r="T54" s="249"/>
      <c r="U54" s="249"/>
      <c r="V54" s="249"/>
      <c r="W54" s="253"/>
    </row>
    <row r="55" spans="3:23" ht="18.75" customHeight="1" x14ac:dyDescent="0.25">
      <c r="C55" s="88">
        <v>52</v>
      </c>
      <c r="D55" s="130"/>
      <c r="E55" s="131"/>
      <c r="F55" s="132"/>
      <c r="G55" s="133"/>
      <c r="H55" s="134"/>
      <c r="I55" s="134"/>
      <c r="J55" s="135"/>
      <c r="K55" s="134"/>
      <c r="L55" s="134"/>
      <c r="M55" s="136"/>
      <c r="N55" s="246"/>
      <c r="O55" s="247"/>
      <c r="P55" s="247"/>
      <c r="Q55" s="247"/>
      <c r="R55" s="247"/>
      <c r="S55" s="247"/>
      <c r="T55" s="247"/>
      <c r="U55" s="247"/>
      <c r="V55" s="247"/>
      <c r="W55" s="253"/>
    </row>
    <row r="56" spans="3:23" ht="18.75" customHeight="1" x14ac:dyDescent="0.25">
      <c r="C56" s="88">
        <v>53</v>
      </c>
      <c r="D56" s="130"/>
      <c r="E56" s="131"/>
      <c r="F56" s="132"/>
      <c r="G56" s="133"/>
      <c r="H56" s="134"/>
      <c r="I56" s="134"/>
      <c r="J56" s="135"/>
      <c r="K56" s="134"/>
      <c r="L56" s="134"/>
      <c r="M56" s="136"/>
      <c r="N56" s="248"/>
      <c r="O56" s="249"/>
      <c r="P56" s="249"/>
      <c r="Q56" s="249"/>
      <c r="R56" s="249"/>
      <c r="S56" s="249"/>
      <c r="T56" s="249"/>
      <c r="U56" s="249"/>
      <c r="V56" s="249"/>
      <c r="W56" s="253"/>
    </row>
    <row r="57" spans="3:23" ht="18.75" customHeight="1" x14ac:dyDescent="0.25">
      <c r="C57" s="88">
        <v>54</v>
      </c>
      <c r="D57" s="130"/>
      <c r="E57" s="131"/>
      <c r="F57" s="132"/>
      <c r="G57" s="133"/>
      <c r="H57" s="134"/>
      <c r="I57" s="134"/>
      <c r="J57" s="135"/>
      <c r="K57" s="134"/>
      <c r="L57" s="134"/>
      <c r="M57" s="136"/>
      <c r="N57" s="246"/>
      <c r="O57" s="247"/>
      <c r="P57" s="247"/>
      <c r="Q57" s="247"/>
      <c r="R57" s="247"/>
      <c r="S57" s="247"/>
      <c r="T57" s="247"/>
      <c r="U57" s="247"/>
      <c r="V57" s="247"/>
      <c r="W57" s="253"/>
    </row>
    <row r="58" spans="3:23" ht="18.75" customHeight="1" x14ac:dyDescent="0.25">
      <c r="C58" s="88">
        <v>55</v>
      </c>
      <c r="D58" s="130"/>
      <c r="E58" s="131"/>
      <c r="F58" s="132"/>
      <c r="G58" s="133"/>
      <c r="H58" s="134"/>
      <c r="I58" s="134"/>
      <c r="J58" s="135"/>
      <c r="K58" s="134"/>
      <c r="L58" s="134"/>
      <c r="M58" s="136"/>
      <c r="N58" s="248"/>
      <c r="O58" s="249"/>
      <c r="P58" s="249"/>
      <c r="Q58" s="249"/>
      <c r="R58" s="249"/>
      <c r="S58" s="249"/>
      <c r="T58" s="249"/>
      <c r="U58" s="249"/>
      <c r="V58" s="249"/>
      <c r="W58" s="253"/>
    </row>
    <row r="59" spans="3:23" ht="18.75" customHeight="1" x14ac:dyDescent="0.25">
      <c r="C59" s="88">
        <v>56</v>
      </c>
      <c r="D59" s="130"/>
      <c r="E59" s="131"/>
      <c r="F59" s="132"/>
      <c r="G59" s="133"/>
      <c r="H59" s="134"/>
      <c r="I59" s="134"/>
      <c r="J59" s="135"/>
      <c r="K59" s="134"/>
      <c r="L59" s="134"/>
      <c r="M59" s="136"/>
      <c r="N59" s="246"/>
      <c r="O59" s="247"/>
      <c r="P59" s="247"/>
      <c r="Q59" s="247"/>
      <c r="R59" s="247"/>
      <c r="S59" s="247"/>
      <c r="T59" s="247"/>
      <c r="U59" s="247"/>
      <c r="V59" s="247"/>
      <c r="W59" s="253"/>
    </row>
    <row r="60" spans="3:23" ht="18.75" customHeight="1" x14ac:dyDescent="0.25">
      <c r="C60" s="88">
        <v>57</v>
      </c>
      <c r="D60" s="130"/>
      <c r="E60" s="131"/>
      <c r="F60" s="132"/>
      <c r="G60" s="133"/>
      <c r="H60" s="134"/>
      <c r="I60" s="134"/>
      <c r="J60" s="135"/>
      <c r="K60" s="134"/>
      <c r="L60" s="134"/>
      <c r="M60" s="136"/>
      <c r="N60" s="248"/>
      <c r="O60" s="249"/>
      <c r="P60" s="249"/>
      <c r="Q60" s="249"/>
      <c r="R60" s="249"/>
      <c r="S60" s="249"/>
      <c r="T60" s="249"/>
      <c r="U60" s="249"/>
      <c r="V60" s="249"/>
      <c r="W60" s="253"/>
    </row>
    <row r="61" spans="3:23" ht="18.75" customHeight="1" x14ac:dyDescent="0.25">
      <c r="C61" s="88">
        <v>58</v>
      </c>
      <c r="D61" s="130"/>
      <c r="E61" s="131"/>
      <c r="F61" s="132"/>
      <c r="G61" s="133"/>
      <c r="H61" s="134"/>
      <c r="I61" s="134"/>
      <c r="J61" s="135"/>
      <c r="K61" s="134"/>
      <c r="L61" s="134"/>
      <c r="M61" s="136"/>
      <c r="N61" s="246"/>
      <c r="O61" s="247"/>
      <c r="P61" s="247"/>
      <c r="Q61" s="247"/>
      <c r="R61" s="247"/>
      <c r="S61" s="247"/>
      <c r="T61" s="247"/>
      <c r="U61" s="247"/>
      <c r="V61" s="247"/>
      <c r="W61" s="253"/>
    </row>
    <row r="62" spans="3:23" ht="18.75" customHeight="1" x14ac:dyDescent="0.25">
      <c r="C62" s="88">
        <v>59</v>
      </c>
      <c r="D62" s="130"/>
      <c r="E62" s="131"/>
      <c r="F62" s="132"/>
      <c r="G62" s="133"/>
      <c r="H62" s="134"/>
      <c r="I62" s="134"/>
      <c r="J62" s="135"/>
      <c r="K62" s="134"/>
      <c r="L62" s="134"/>
      <c r="M62" s="136"/>
      <c r="N62" s="248"/>
      <c r="O62" s="249"/>
      <c r="P62" s="249"/>
      <c r="Q62" s="249"/>
      <c r="R62" s="249"/>
      <c r="S62" s="249"/>
      <c r="T62" s="249"/>
      <c r="U62" s="249"/>
      <c r="V62" s="249"/>
      <c r="W62" s="253"/>
    </row>
    <row r="63" spans="3:23" ht="18.75" customHeight="1" x14ac:dyDescent="0.25">
      <c r="C63" s="88">
        <v>60</v>
      </c>
      <c r="D63" s="130"/>
      <c r="E63" s="131"/>
      <c r="F63" s="132"/>
      <c r="G63" s="133"/>
      <c r="H63" s="134"/>
      <c r="I63" s="134"/>
      <c r="J63" s="135"/>
      <c r="K63" s="134"/>
      <c r="L63" s="134"/>
      <c r="M63" s="136"/>
      <c r="N63" s="246"/>
      <c r="O63" s="247"/>
      <c r="P63" s="247"/>
      <c r="Q63" s="247"/>
      <c r="R63" s="247"/>
      <c r="S63" s="247"/>
      <c r="T63" s="247"/>
      <c r="U63" s="247"/>
      <c r="V63" s="247"/>
      <c r="W63" s="253"/>
    </row>
    <row r="64" spans="3:23" ht="18.75" customHeight="1" x14ac:dyDescent="0.25">
      <c r="C64" s="88">
        <v>61</v>
      </c>
      <c r="D64" s="130"/>
      <c r="E64" s="131"/>
      <c r="F64" s="132"/>
      <c r="G64" s="133"/>
      <c r="H64" s="134"/>
      <c r="I64" s="134"/>
      <c r="J64" s="135"/>
      <c r="K64" s="134"/>
      <c r="L64" s="134"/>
      <c r="M64" s="136"/>
      <c r="N64" s="248"/>
      <c r="O64" s="249"/>
      <c r="P64" s="249"/>
      <c r="Q64" s="249"/>
      <c r="R64" s="249"/>
      <c r="S64" s="249"/>
      <c r="T64" s="249"/>
      <c r="U64" s="249"/>
      <c r="V64" s="249"/>
      <c r="W64" s="253"/>
    </row>
    <row r="65" spans="3:23" ht="18.75" customHeight="1" x14ac:dyDescent="0.25">
      <c r="C65" s="88">
        <v>62</v>
      </c>
      <c r="D65" s="130"/>
      <c r="E65" s="131"/>
      <c r="F65" s="132"/>
      <c r="G65" s="133"/>
      <c r="H65" s="134"/>
      <c r="I65" s="134"/>
      <c r="J65" s="135"/>
      <c r="K65" s="134"/>
      <c r="L65" s="134"/>
      <c r="M65" s="136"/>
      <c r="N65" s="246"/>
      <c r="O65" s="247"/>
      <c r="P65" s="247"/>
      <c r="Q65" s="247"/>
      <c r="R65" s="247"/>
      <c r="S65" s="247"/>
      <c r="T65" s="247"/>
      <c r="U65" s="247"/>
      <c r="V65" s="247"/>
      <c r="W65" s="253"/>
    </row>
    <row r="66" spans="3:23" ht="18.75" customHeight="1" x14ac:dyDescent="0.25">
      <c r="C66" s="88">
        <v>63</v>
      </c>
      <c r="D66" s="130"/>
      <c r="E66" s="131"/>
      <c r="F66" s="132"/>
      <c r="G66" s="133"/>
      <c r="H66" s="134"/>
      <c r="I66" s="134"/>
      <c r="J66" s="135"/>
      <c r="K66" s="134"/>
      <c r="L66" s="134"/>
      <c r="M66" s="136"/>
      <c r="N66" s="248"/>
      <c r="O66" s="249"/>
      <c r="P66" s="249"/>
      <c r="Q66" s="249"/>
      <c r="R66" s="249"/>
      <c r="S66" s="249"/>
      <c r="T66" s="249"/>
      <c r="U66" s="249"/>
      <c r="V66" s="249"/>
      <c r="W66" s="253"/>
    </row>
    <row r="67" spans="3:23" ht="18.75" customHeight="1" x14ac:dyDescent="0.25">
      <c r="C67" s="88">
        <v>64</v>
      </c>
      <c r="D67" s="130"/>
      <c r="E67" s="131"/>
      <c r="F67" s="132"/>
      <c r="G67" s="133"/>
      <c r="H67" s="134"/>
      <c r="I67" s="134"/>
      <c r="J67" s="135"/>
      <c r="K67" s="134"/>
      <c r="L67" s="134"/>
      <c r="M67" s="136"/>
      <c r="N67" s="246"/>
      <c r="O67" s="247"/>
      <c r="P67" s="247"/>
      <c r="Q67" s="247"/>
      <c r="R67" s="247"/>
      <c r="S67" s="247"/>
      <c r="T67" s="247"/>
      <c r="U67" s="247"/>
      <c r="V67" s="247"/>
      <c r="W67" s="253"/>
    </row>
    <row r="68" spans="3:23" ht="18.75" customHeight="1" x14ac:dyDescent="0.25">
      <c r="C68" s="88">
        <v>65</v>
      </c>
      <c r="D68" s="130"/>
      <c r="E68" s="131"/>
      <c r="F68" s="132"/>
      <c r="G68" s="133"/>
      <c r="H68" s="134"/>
      <c r="I68" s="134"/>
      <c r="J68" s="135"/>
      <c r="K68" s="134"/>
      <c r="L68" s="134"/>
      <c r="M68" s="136"/>
      <c r="N68" s="248"/>
      <c r="O68" s="249"/>
      <c r="P68" s="249"/>
      <c r="Q68" s="249"/>
      <c r="R68" s="249"/>
      <c r="S68" s="249"/>
      <c r="T68" s="249"/>
      <c r="U68" s="249"/>
      <c r="V68" s="249"/>
      <c r="W68" s="253"/>
    </row>
    <row r="69" spans="3:23" ht="18.75" customHeight="1" x14ac:dyDescent="0.25">
      <c r="C69" s="88">
        <v>66</v>
      </c>
      <c r="D69" s="130"/>
      <c r="E69" s="131"/>
      <c r="F69" s="132"/>
      <c r="G69" s="133"/>
      <c r="H69" s="134"/>
      <c r="I69" s="134"/>
      <c r="J69" s="135"/>
      <c r="K69" s="134"/>
      <c r="L69" s="134"/>
      <c r="M69" s="136"/>
      <c r="N69" s="246"/>
      <c r="O69" s="247"/>
      <c r="P69" s="247"/>
      <c r="Q69" s="247"/>
      <c r="R69" s="247"/>
      <c r="S69" s="247"/>
      <c r="T69" s="247"/>
      <c r="U69" s="247"/>
      <c r="V69" s="247"/>
      <c r="W69" s="253"/>
    </row>
    <row r="70" spans="3:23" ht="18.75" customHeight="1" x14ac:dyDescent="0.25">
      <c r="C70" s="88">
        <v>67</v>
      </c>
      <c r="D70" s="130"/>
      <c r="E70" s="131"/>
      <c r="F70" s="132"/>
      <c r="G70" s="133"/>
      <c r="H70" s="134"/>
      <c r="I70" s="134"/>
      <c r="J70" s="135"/>
      <c r="K70" s="134"/>
      <c r="L70" s="134"/>
      <c r="M70" s="136"/>
      <c r="N70" s="248"/>
      <c r="O70" s="249"/>
      <c r="P70" s="249"/>
      <c r="Q70" s="249"/>
      <c r="R70" s="249"/>
      <c r="S70" s="249"/>
      <c r="T70" s="249"/>
      <c r="U70" s="249"/>
      <c r="V70" s="249"/>
      <c r="W70" s="253"/>
    </row>
    <row r="71" spans="3:23" ht="18.75" customHeight="1" x14ac:dyDescent="0.25">
      <c r="C71" s="88">
        <v>68</v>
      </c>
      <c r="D71" s="130"/>
      <c r="E71" s="131"/>
      <c r="F71" s="132"/>
      <c r="G71" s="133"/>
      <c r="H71" s="134"/>
      <c r="I71" s="134"/>
      <c r="J71" s="135"/>
      <c r="K71" s="134"/>
      <c r="L71" s="134"/>
      <c r="M71" s="136"/>
      <c r="N71" s="246"/>
      <c r="O71" s="247"/>
      <c r="P71" s="247"/>
      <c r="Q71" s="247"/>
      <c r="R71" s="247"/>
      <c r="S71" s="247"/>
      <c r="T71" s="247"/>
      <c r="U71" s="247"/>
      <c r="V71" s="247"/>
      <c r="W71" s="253"/>
    </row>
    <row r="72" spans="3:23" ht="18.75" customHeight="1" x14ac:dyDescent="0.25">
      <c r="C72" s="88">
        <v>69</v>
      </c>
      <c r="D72" s="130"/>
      <c r="E72" s="131"/>
      <c r="F72" s="132"/>
      <c r="G72" s="133"/>
      <c r="H72" s="134"/>
      <c r="I72" s="134"/>
      <c r="J72" s="135"/>
      <c r="K72" s="134"/>
      <c r="L72" s="134"/>
      <c r="M72" s="136"/>
      <c r="N72" s="248"/>
      <c r="O72" s="249"/>
      <c r="P72" s="249"/>
      <c r="Q72" s="249"/>
      <c r="R72" s="249"/>
      <c r="S72" s="249"/>
      <c r="T72" s="249"/>
      <c r="U72" s="249"/>
      <c r="V72" s="249"/>
      <c r="W72" s="253"/>
    </row>
    <row r="73" spans="3:23" ht="18.75" customHeight="1" x14ac:dyDescent="0.25">
      <c r="C73" s="88">
        <v>70</v>
      </c>
      <c r="D73" s="130"/>
      <c r="E73" s="131"/>
      <c r="F73" s="132"/>
      <c r="G73" s="133"/>
      <c r="H73" s="134"/>
      <c r="I73" s="134"/>
      <c r="J73" s="135"/>
      <c r="K73" s="134"/>
      <c r="L73" s="134"/>
      <c r="M73" s="136"/>
      <c r="N73" s="246"/>
      <c r="O73" s="247"/>
      <c r="P73" s="247"/>
      <c r="Q73" s="247"/>
      <c r="R73" s="247"/>
      <c r="S73" s="247"/>
      <c r="T73" s="247"/>
      <c r="U73" s="247"/>
      <c r="V73" s="247"/>
      <c r="W73" s="253"/>
    </row>
    <row r="74" spans="3:23" ht="18.75" customHeight="1" x14ac:dyDescent="0.25">
      <c r="C74" s="88">
        <v>71</v>
      </c>
      <c r="D74" s="130"/>
      <c r="E74" s="131"/>
      <c r="F74" s="132"/>
      <c r="G74" s="133"/>
      <c r="H74" s="134"/>
      <c r="I74" s="134"/>
      <c r="J74" s="135"/>
      <c r="K74" s="134"/>
      <c r="L74" s="134"/>
      <c r="M74" s="136"/>
      <c r="N74" s="248"/>
      <c r="O74" s="249"/>
      <c r="P74" s="249"/>
      <c r="Q74" s="249"/>
      <c r="R74" s="249"/>
      <c r="S74" s="249"/>
      <c r="T74" s="249"/>
      <c r="U74" s="249"/>
      <c r="V74" s="249"/>
      <c r="W74" s="253"/>
    </row>
    <row r="75" spans="3:23" ht="18.75" customHeight="1" x14ac:dyDescent="0.25">
      <c r="C75" s="88">
        <v>72</v>
      </c>
      <c r="D75" s="130"/>
      <c r="E75" s="131"/>
      <c r="F75" s="132"/>
      <c r="G75" s="133"/>
      <c r="H75" s="134"/>
      <c r="I75" s="134"/>
      <c r="J75" s="135"/>
      <c r="K75" s="134"/>
      <c r="L75" s="134"/>
      <c r="M75" s="136"/>
      <c r="N75" s="246"/>
      <c r="O75" s="247"/>
      <c r="P75" s="247"/>
      <c r="Q75" s="247"/>
      <c r="R75" s="247"/>
      <c r="S75" s="247"/>
      <c r="T75" s="247"/>
      <c r="U75" s="247"/>
      <c r="V75" s="247"/>
      <c r="W75" s="253"/>
    </row>
    <row r="76" spans="3:23" ht="18.75" customHeight="1" x14ac:dyDescent="0.25">
      <c r="C76" s="88">
        <v>73</v>
      </c>
      <c r="D76" s="130"/>
      <c r="E76" s="131"/>
      <c r="F76" s="132"/>
      <c r="G76" s="133"/>
      <c r="H76" s="134"/>
      <c r="I76" s="134"/>
      <c r="J76" s="135"/>
      <c r="K76" s="134"/>
      <c r="L76" s="134"/>
      <c r="M76" s="136"/>
      <c r="N76" s="248"/>
      <c r="O76" s="249"/>
      <c r="P76" s="249"/>
      <c r="Q76" s="249"/>
      <c r="R76" s="249"/>
      <c r="S76" s="249"/>
      <c r="T76" s="249"/>
      <c r="U76" s="249"/>
      <c r="V76" s="249"/>
      <c r="W76" s="253"/>
    </row>
    <row r="77" spans="3:23" ht="18.75" customHeight="1" x14ac:dyDescent="0.25">
      <c r="C77" s="88">
        <v>74</v>
      </c>
      <c r="D77" s="130"/>
      <c r="E77" s="131"/>
      <c r="F77" s="132"/>
      <c r="G77" s="133"/>
      <c r="H77" s="134"/>
      <c r="I77" s="134"/>
      <c r="J77" s="135"/>
      <c r="K77" s="134"/>
      <c r="L77" s="134"/>
      <c r="M77" s="136"/>
      <c r="N77" s="246"/>
      <c r="O77" s="247"/>
      <c r="P77" s="247"/>
      <c r="Q77" s="247"/>
      <c r="R77" s="247"/>
      <c r="S77" s="247"/>
      <c r="T77" s="247"/>
      <c r="U77" s="247"/>
      <c r="V77" s="247"/>
      <c r="W77" s="253"/>
    </row>
    <row r="78" spans="3:23" ht="18.75" customHeight="1" x14ac:dyDescent="0.25">
      <c r="C78" s="88">
        <v>75</v>
      </c>
      <c r="D78" s="130"/>
      <c r="E78" s="131"/>
      <c r="F78" s="132"/>
      <c r="G78" s="133"/>
      <c r="H78" s="134"/>
      <c r="I78" s="134"/>
      <c r="J78" s="135"/>
      <c r="K78" s="134"/>
      <c r="L78" s="134"/>
      <c r="M78" s="136"/>
      <c r="N78" s="248"/>
      <c r="O78" s="249"/>
      <c r="P78" s="249"/>
      <c r="Q78" s="249"/>
      <c r="R78" s="249"/>
      <c r="S78" s="249"/>
      <c r="T78" s="249"/>
      <c r="U78" s="249"/>
      <c r="V78" s="249"/>
      <c r="W78" s="253"/>
    </row>
    <row r="79" spans="3:23" ht="18.75" customHeight="1" x14ac:dyDescent="0.25">
      <c r="C79" s="88">
        <v>76</v>
      </c>
      <c r="D79" s="130"/>
      <c r="E79" s="131"/>
      <c r="F79" s="132"/>
      <c r="G79" s="133"/>
      <c r="H79" s="134"/>
      <c r="I79" s="134"/>
      <c r="J79" s="135"/>
      <c r="K79" s="134"/>
      <c r="L79" s="134"/>
      <c r="M79" s="136"/>
      <c r="N79" s="246"/>
      <c r="O79" s="247"/>
      <c r="P79" s="247"/>
      <c r="Q79" s="247"/>
      <c r="R79" s="247"/>
      <c r="S79" s="247"/>
      <c r="T79" s="247"/>
      <c r="U79" s="247"/>
      <c r="V79" s="247"/>
      <c r="W79" s="253"/>
    </row>
    <row r="80" spans="3:23" ht="18.75" customHeight="1" x14ac:dyDescent="0.25">
      <c r="C80" s="88">
        <v>77</v>
      </c>
      <c r="D80" s="130"/>
      <c r="E80" s="131"/>
      <c r="F80" s="132"/>
      <c r="G80" s="133"/>
      <c r="H80" s="134"/>
      <c r="I80" s="134"/>
      <c r="J80" s="135"/>
      <c r="K80" s="134"/>
      <c r="L80" s="134"/>
      <c r="M80" s="136"/>
      <c r="N80" s="248"/>
      <c r="O80" s="249"/>
      <c r="P80" s="249"/>
      <c r="Q80" s="249"/>
      <c r="R80" s="249"/>
      <c r="S80" s="249"/>
      <c r="T80" s="249"/>
      <c r="U80" s="249"/>
      <c r="V80" s="249"/>
      <c r="W80" s="253"/>
    </row>
    <row r="81" spans="3:23" ht="18.75" customHeight="1" x14ac:dyDescent="0.25">
      <c r="C81" s="88">
        <v>78</v>
      </c>
      <c r="D81" s="130"/>
      <c r="E81" s="131"/>
      <c r="F81" s="132"/>
      <c r="G81" s="133"/>
      <c r="H81" s="134"/>
      <c r="I81" s="134"/>
      <c r="J81" s="135"/>
      <c r="K81" s="134"/>
      <c r="L81" s="134"/>
      <c r="M81" s="136"/>
      <c r="N81" s="246"/>
      <c r="O81" s="247"/>
      <c r="P81" s="247"/>
      <c r="Q81" s="247"/>
      <c r="R81" s="247"/>
      <c r="S81" s="247"/>
      <c r="T81" s="247"/>
      <c r="U81" s="247"/>
      <c r="V81" s="247"/>
      <c r="W81" s="253"/>
    </row>
    <row r="82" spans="3:23" ht="18.75" customHeight="1" x14ac:dyDescent="0.25">
      <c r="C82" s="88">
        <v>79</v>
      </c>
      <c r="D82" s="130"/>
      <c r="E82" s="131"/>
      <c r="F82" s="132"/>
      <c r="G82" s="133"/>
      <c r="H82" s="134"/>
      <c r="I82" s="134"/>
      <c r="J82" s="135"/>
      <c r="K82" s="134"/>
      <c r="L82" s="134"/>
      <c r="M82" s="136"/>
      <c r="N82" s="248"/>
      <c r="O82" s="249"/>
      <c r="P82" s="249"/>
      <c r="Q82" s="249"/>
      <c r="R82" s="249"/>
      <c r="S82" s="249"/>
      <c r="T82" s="249"/>
      <c r="U82" s="249"/>
      <c r="V82" s="249"/>
      <c r="W82" s="253"/>
    </row>
    <row r="83" spans="3:23" ht="18.75" customHeight="1" x14ac:dyDescent="0.25">
      <c r="C83" s="88">
        <v>80</v>
      </c>
      <c r="D83" s="130"/>
      <c r="E83" s="131"/>
      <c r="F83" s="132"/>
      <c r="G83" s="133"/>
      <c r="H83" s="134"/>
      <c r="I83" s="134"/>
      <c r="J83" s="135"/>
      <c r="K83" s="134"/>
      <c r="L83" s="134"/>
      <c r="M83" s="136"/>
      <c r="N83" s="246"/>
      <c r="O83" s="247"/>
      <c r="P83" s="247"/>
      <c r="Q83" s="247"/>
      <c r="R83" s="247"/>
      <c r="S83" s="247"/>
      <c r="T83" s="247"/>
      <c r="U83" s="247"/>
      <c r="V83" s="247"/>
      <c r="W83" s="253"/>
    </row>
    <row r="84" spans="3:23" ht="18.75" customHeight="1" x14ac:dyDescent="0.25">
      <c r="C84" s="88">
        <v>81</v>
      </c>
      <c r="D84" s="130"/>
      <c r="E84" s="131"/>
      <c r="F84" s="132"/>
      <c r="G84" s="133"/>
      <c r="H84" s="134"/>
      <c r="I84" s="134"/>
      <c r="J84" s="135"/>
      <c r="K84" s="134"/>
      <c r="L84" s="134"/>
      <c r="M84" s="136"/>
      <c r="N84" s="248"/>
      <c r="O84" s="249"/>
      <c r="P84" s="249"/>
      <c r="Q84" s="249"/>
      <c r="R84" s="249"/>
      <c r="S84" s="249"/>
      <c r="T84" s="249"/>
      <c r="U84" s="249"/>
      <c r="V84" s="249"/>
      <c r="W84" s="253"/>
    </row>
    <row r="85" spans="3:23" ht="18.75" customHeight="1" x14ac:dyDescent="0.25">
      <c r="C85" s="88">
        <v>82</v>
      </c>
      <c r="D85" s="130"/>
      <c r="E85" s="131"/>
      <c r="F85" s="132"/>
      <c r="G85" s="133"/>
      <c r="H85" s="134"/>
      <c r="I85" s="134"/>
      <c r="J85" s="135"/>
      <c r="K85" s="134"/>
      <c r="L85" s="134"/>
      <c r="M85" s="136"/>
      <c r="N85" s="246"/>
      <c r="O85" s="247"/>
      <c r="P85" s="247"/>
      <c r="Q85" s="247"/>
      <c r="R85" s="247"/>
      <c r="S85" s="247"/>
      <c r="T85" s="247"/>
      <c r="U85" s="247"/>
      <c r="V85" s="247"/>
      <c r="W85" s="253"/>
    </row>
    <row r="86" spans="3:23" ht="18.75" customHeight="1" x14ac:dyDescent="0.25">
      <c r="C86" s="88">
        <v>83</v>
      </c>
      <c r="D86" s="130"/>
      <c r="E86" s="131"/>
      <c r="F86" s="132"/>
      <c r="G86" s="133"/>
      <c r="H86" s="134"/>
      <c r="I86" s="134"/>
      <c r="J86" s="135"/>
      <c r="K86" s="134"/>
      <c r="L86" s="134"/>
      <c r="M86" s="136"/>
      <c r="N86" s="248"/>
      <c r="O86" s="249"/>
      <c r="P86" s="249"/>
      <c r="Q86" s="249"/>
      <c r="R86" s="249"/>
      <c r="S86" s="249"/>
      <c r="T86" s="249"/>
      <c r="U86" s="249"/>
      <c r="V86" s="249"/>
      <c r="W86" s="253"/>
    </row>
    <row r="87" spans="3:23" ht="18.75" customHeight="1" x14ac:dyDescent="0.25">
      <c r="C87" s="88">
        <v>84</v>
      </c>
      <c r="D87" s="130"/>
      <c r="E87" s="131"/>
      <c r="F87" s="132"/>
      <c r="G87" s="133"/>
      <c r="H87" s="134"/>
      <c r="I87" s="134"/>
      <c r="J87" s="135"/>
      <c r="K87" s="134"/>
      <c r="L87" s="134"/>
      <c r="M87" s="136"/>
      <c r="N87" s="246"/>
      <c r="O87" s="247"/>
      <c r="P87" s="247"/>
      <c r="Q87" s="247"/>
      <c r="R87" s="247"/>
      <c r="S87" s="247"/>
      <c r="T87" s="247"/>
      <c r="U87" s="247"/>
      <c r="V87" s="247"/>
      <c r="W87" s="253"/>
    </row>
    <row r="88" spans="3:23" ht="18.75" customHeight="1" x14ac:dyDescent="0.25">
      <c r="C88" s="88">
        <v>85</v>
      </c>
      <c r="D88" s="130"/>
      <c r="E88" s="131"/>
      <c r="F88" s="132"/>
      <c r="G88" s="133"/>
      <c r="H88" s="134"/>
      <c r="I88" s="134"/>
      <c r="J88" s="135"/>
      <c r="K88" s="134"/>
      <c r="L88" s="134"/>
      <c r="M88" s="136"/>
      <c r="N88" s="248"/>
      <c r="O88" s="249"/>
      <c r="P88" s="249"/>
      <c r="Q88" s="249"/>
      <c r="R88" s="249"/>
      <c r="S88" s="249"/>
      <c r="T88" s="249"/>
      <c r="U88" s="249"/>
      <c r="V88" s="249"/>
      <c r="W88" s="253"/>
    </row>
    <row r="89" spans="3:23" ht="18.75" customHeight="1" x14ac:dyDescent="0.25">
      <c r="C89" s="88">
        <v>86</v>
      </c>
      <c r="D89" s="130"/>
      <c r="E89" s="131"/>
      <c r="F89" s="132"/>
      <c r="G89" s="133"/>
      <c r="H89" s="134"/>
      <c r="I89" s="134"/>
      <c r="J89" s="135"/>
      <c r="K89" s="134"/>
      <c r="L89" s="134"/>
      <c r="M89" s="136"/>
      <c r="N89" s="246"/>
      <c r="O89" s="247"/>
      <c r="P89" s="247"/>
      <c r="Q89" s="247"/>
      <c r="R89" s="247"/>
      <c r="S89" s="247"/>
      <c r="T89" s="247"/>
      <c r="U89" s="247"/>
      <c r="V89" s="247"/>
      <c r="W89" s="253"/>
    </row>
    <row r="90" spans="3:23" ht="18.75" customHeight="1" x14ac:dyDescent="0.25">
      <c r="C90" s="88">
        <v>87</v>
      </c>
      <c r="D90" s="130"/>
      <c r="E90" s="131"/>
      <c r="F90" s="132"/>
      <c r="G90" s="133"/>
      <c r="H90" s="134"/>
      <c r="I90" s="134"/>
      <c r="J90" s="135"/>
      <c r="K90" s="134"/>
      <c r="L90" s="134"/>
      <c r="M90" s="136"/>
      <c r="N90" s="248"/>
      <c r="O90" s="249"/>
      <c r="P90" s="249"/>
      <c r="Q90" s="249"/>
      <c r="R90" s="249"/>
      <c r="S90" s="249"/>
      <c r="T90" s="249"/>
      <c r="U90" s="249"/>
      <c r="V90" s="249"/>
      <c r="W90" s="253"/>
    </row>
    <row r="91" spans="3:23" ht="18.75" customHeight="1" x14ac:dyDescent="0.25">
      <c r="C91" s="88">
        <v>88</v>
      </c>
      <c r="D91" s="130"/>
      <c r="E91" s="131"/>
      <c r="F91" s="132"/>
      <c r="G91" s="133"/>
      <c r="H91" s="134"/>
      <c r="I91" s="134"/>
      <c r="J91" s="135"/>
      <c r="K91" s="134"/>
      <c r="L91" s="134"/>
      <c r="M91" s="136"/>
      <c r="N91" s="246"/>
      <c r="O91" s="247"/>
      <c r="P91" s="247"/>
      <c r="Q91" s="247"/>
      <c r="R91" s="247"/>
      <c r="S91" s="247"/>
      <c r="T91" s="247"/>
      <c r="U91" s="247"/>
      <c r="V91" s="247"/>
      <c r="W91" s="253"/>
    </row>
    <row r="92" spans="3:23" ht="18.75" customHeight="1" x14ac:dyDescent="0.25">
      <c r="C92" s="88">
        <v>89</v>
      </c>
      <c r="D92" s="130"/>
      <c r="E92" s="131"/>
      <c r="F92" s="132"/>
      <c r="G92" s="133"/>
      <c r="H92" s="134"/>
      <c r="I92" s="134"/>
      <c r="J92" s="135"/>
      <c r="K92" s="134"/>
      <c r="L92" s="134"/>
      <c r="M92" s="136"/>
      <c r="N92" s="248"/>
      <c r="O92" s="249"/>
      <c r="P92" s="249"/>
      <c r="Q92" s="249"/>
      <c r="R92" s="249"/>
      <c r="S92" s="249"/>
      <c r="T92" s="249"/>
      <c r="U92" s="249"/>
      <c r="V92" s="249"/>
      <c r="W92" s="253"/>
    </row>
    <row r="93" spans="3:23" ht="18.75" customHeight="1" x14ac:dyDescent="0.25">
      <c r="C93" s="88">
        <v>90</v>
      </c>
      <c r="D93" s="130"/>
      <c r="E93" s="131"/>
      <c r="F93" s="132"/>
      <c r="G93" s="133"/>
      <c r="H93" s="134"/>
      <c r="I93" s="134"/>
      <c r="J93" s="135"/>
      <c r="K93" s="134"/>
      <c r="L93" s="134"/>
      <c r="M93" s="136"/>
      <c r="N93" s="246"/>
      <c r="O93" s="247"/>
      <c r="P93" s="247"/>
      <c r="Q93" s="247"/>
      <c r="R93" s="247"/>
      <c r="S93" s="247"/>
      <c r="T93" s="247"/>
      <c r="U93" s="247"/>
      <c r="V93" s="247"/>
      <c r="W93" s="253"/>
    </row>
    <row r="94" spans="3:23" ht="18.75" customHeight="1" x14ac:dyDescent="0.25">
      <c r="C94" s="88">
        <v>91</v>
      </c>
      <c r="D94" s="130"/>
      <c r="E94" s="131"/>
      <c r="F94" s="132"/>
      <c r="G94" s="133"/>
      <c r="H94" s="134"/>
      <c r="I94" s="134"/>
      <c r="J94" s="135"/>
      <c r="K94" s="134"/>
      <c r="L94" s="134"/>
      <c r="M94" s="136"/>
      <c r="N94" s="248"/>
      <c r="O94" s="249"/>
      <c r="P94" s="249"/>
      <c r="Q94" s="249"/>
      <c r="R94" s="249"/>
      <c r="S94" s="249"/>
      <c r="T94" s="249"/>
      <c r="U94" s="249"/>
      <c r="V94" s="249"/>
      <c r="W94" s="253"/>
    </row>
    <row r="95" spans="3:23" ht="18.75" customHeight="1" x14ac:dyDescent="0.25">
      <c r="C95" s="88">
        <v>92</v>
      </c>
      <c r="D95" s="130"/>
      <c r="E95" s="131"/>
      <c r="F95" s="132"/>
      <c r="G95" s="133"/>
      <c r="H95" s="134"/>
      <c r="I95" s="134"/>
      <c r="J95" s="135"/>
      <c r="K95" s="134"/>
      <c r="L95" s="134"/>
      <c r="M95" s="136"/>
      <c r="N95" s="246"/>
      <c r="O95" s="247"/>
      <c r="P95" s="247"/>
      <c r="Q95" s="247"/>
      <c r="R95" s="247"/>
      <c r="S95" s="247"/>
      <c r="T95" s="247"/>
      <c r="U95" s="247"/>
      <c r="V95" s="247"/>
      <c r="W95" s="253"/>
    </row>
    <row r="96" spans="3:23" ht="18.75" customHeight="1" x14ac:dyDescent="0.25">
      <c r="C96" s="88">
        <v>93</v>
      </c>
      <c r="D96" s="130"/>
      <c r="E96" s="131"/>
      <c r="F96" s="132"/>
      <c r="G96" s="133"/>
      <c r="H96" s="134"/>
      <c r="I96" s="134"/>
      <c r="J96" s="135"/>
      <c r="K96" s="134"/>
      <c r="L96" s="134"/>
      <c r="M96" s="136"/>
      <c r="N96" s="248"/>
      <c r="O96" s="249"/>
      <c r="P96" s="249"/>
      <c r="Q96" s="249"/>
      <c r="R96" s="249"/>
      <c r="S96" s="249"/>
      <c r="T96" s="249"/>
      <c r="U96" s="249"/>
      <c r="V96" s="249"/>
      <c r="W96" s="253"/>
    </row>
    <row r="97" spans="3:23" ht="18.75" customHeight="1" x14ac:dyDescent="0.25">
      <c r="C97" s="88">
        <v>94</v>
      </c>
      <c r="D97" s="130"/>
      <c r="E97" s="131"/>
      <c r="F97" s="132"/>
      <c r="G97" s="133"/>
      <c r="H97" s="134"/>
      <c r="I97" s="134"/>
      <c r="J97" s="135"/>
      <c r="K97" s="134"/>
      <c r="L97" s="134"/>
      <c r="M97" s="136"/>
      <c r="N97" s="246"/>
      <c r="O97" s="247"/>
      <c r="P97" s="247"/>
      <c r="Q97" s="247"/>
      <c r="R97" s="247"/>
      <c r="S97" s="247"/>
      <c r="T97" s="247"/>
      <c r="U97" s="247"/>
      <c r="V97" s="247"/>
      <c r="W97" s="253"/>
    </row>
    <row r="98" spans="3:23" ht="18.75" customHeight="1" x14ac:dyDescent="0.25">
      <c r="C98" s="88">
        <v>95</v>
      </c>
      <c r="D98" s="130"/>
      <c r="E98" s="131"/>
      <c r="F98" s="132"/>
      <c r="G98" s="133"/>
      <c r="H98" s="134"/>
      <c r="I98" s="134"/>
      <c r="J98" s="135"/>
      <c r="K98" s="134"/>
      <c r="L98" s="134"/>
      <c r="M98" s="136"/>
      <c r="N98" s="248"/>
      <c r="O98" s="249"/>
      <c r="P98" s="249"/>
      <c r="Q98" s="249"/>
      <c r="R98" s="249"/>
      <c r="S98" s="249"/>
      <c r="T98" s="249"/>
      <c r="U98" s="249"/>
      <c r="V98" s="249"/>
      <c r="W98" s="253"/>
    </row>
    <row r="99" spans="3:23" ht="18.75" customHeight="1" x14ac:dyDescent="0.25">
      <c r="C99" s="88">
        <v>96</v>
      </c>
      <c r="D99" s="130"/>
      <c r="E99" s="131"/>
      <c r="F99" s="132"/>
      <c r="G99" s="133"/>
      <c r="H99" s="134"/>
      <c r="I99" s="134"/>
      <c r="J99" s="135"/>
      <c r="K99" s="134"/>
      <c r="L99" s="134"/>
      <c r="M99" s="136"/>
      <c r="N99" s="246"/>
      <c r="O99" s="247"/>
      <c r="P99" s="247"/>
      <c r="Q99" s="247"/>
      <c r="R99" s="247"/>
      <c r="S99" s="247"/>
      <c r="T99" s="247"/>
      <c r="U99" s="247"/>
      <c r="V99" s="247"/>
      <c r="W99" s="253"/>
    </row>
    <row r="100" spans="3:23" ht="18.75" customHeight="1" x14ac:dyDescent="0.25">
      <c r="C100" s="88">
        <v>97</v>
      </c>
      <c r="D100" s="130"/>
      <c r="E100" s="131"/>
      <c r="F100" s="132"/>
      <c r="G100" s="133"/>
      <c r="H100" s="134"/>
      <c r="I100" s="134"/>
      <c r="J100" s="135"/>
      <c r="K100" s="134"/>
      <c r="L100" s="134"/>
      <c r="M100" s="136"/>
      <c r="N100" s="248"/>
      <c r="O100" s="249"/>
      <c r="P100" s="249"/>
      <c r="Q100" s="249"/>
      <c r="R100" s="249"/>
      <c r="S100" s="249"/>
      <c r="T100" s="249"/>
      <c r="U100" s="249"/>
      <c r="V100" s="249"/>
      <c r="W100" s="253"/>
    </row>
    <row r="101" spans="3:23" ht="18.75" customHeight="1" x14ac:dyDescent="0.25">
      <c r="C101" s="88">
        <v>98</v>
      </c>
      <c r="D101" s="130"/>
      <c r="E101" s="131"/>
      <c r="F101" s="132"/>
      <c r="G101" s="133"/>
      <c r="H101" s="134"/>
      <c r="I101" s="134"/>
      <c r="J101" s="135"/>
      <c r="K101" s="134"/>
      <c r="L101" s="134"/>
      <c r="M101" s="136"/>
      <c r="N101" s="246"/>
      <c r="O101" s="247"/>
      <c r="P101" s="247"/>
      <c r="Q101" s="247"/>
      <c r="R101" s="247"/>
      <c r="S101" s="247"/>
      <c r="T101" s="247"/>
      <c r="U101" s="247"/>
      <c r="V101" s="247"/>
      <c r="W101" s="253"/>
    </row>
    <row r="102" spans="3:23" ht="18.75" customHeight="1" x14ac:dyDescent="0.25">
      <c r="C102" s="88">
        <v>99</v>
      </c>
      <c r="D102" s="130"/>
      <c r="E102" s="131"/>
      <c r="F102" s="132"/>
      <c r="G102" s="133"/>
      <c r="H102" s="134"/>
      <c r="I102" s="134"/>
      <c r="J102" s="135"/>
      <c r="K102" s="134"/>
      <c r="L102" s="134"/>
      <c r="M102" s="136"/>
      <c r="N102" s="248"/>
      <c r="O102" s="249"/>
      <c r="P102" s="249"/>
      <c r="Q102" s="249"/>
      <c r="R102" s="249"/>
      <c r="S102" s="249"/>
      <c r="T102" s="249"/>
      <c r="U102" s="249"/>
      <c r="V102" s="249"/>
      <c r="W102" s="253"/>
    </row>
    <row r="103" spans="3:23" ht="18.75" customHeight="1" x14ac:dyDescent="0.25">
      <c r="C103" s="88">
        <v>100</v>
      </c>
      <c r="D103" s="130"/>
      <c r="E103" s="131"/>
      <c r="F103" s="132"/>
      <c r="G103" s="133"/>
      <c r="H103" s="134"/>
      <c r="I103" s="134"/>
      <c r="J103" s="135"/>
      <c r="K103" s="134"/>
      <c r="L103" s="134"/>
      <c r="M103" s="136"/>
      <c r="N103" s="246"/>
      <c r="O103" s="247"/>
      <c r="P103" s="247"/>
      <c r="Q103" s="247"/>
      <c r="R103" s="247"/>
      <c r="S103" s="247"/>
      <c r="T103" s="247"/>
      <c r="U103" s="247"/>
      <c r="V103" s="247"/>
      <c r="W103" s="253"/>
    </row>
    <row r="104" spans="3:23" ht="18.75" customHeight="1" x14ac:dyDescent="0.25">
      <c r="C104" s="88">
        <v>101</v>
      </c>
      <c r="D104" s="130"/>
      <c r="E104" s="131"/>
      <c r="F104" s="132"/>
      <c r="G104" s="133"/>
      <c r="H104" s="134"/>
      <c r="I104" s="134"/>
      <c r="J104" s="135"/>
      <c r="K104" s="134"/>
      <c r="L104" s="134"/>
      <c r="M104" s="136"/>
      <c r="N104" s="248"/>
      <c r="O104" s="249"/>
      <c r="P104" s="249"/>
      <c r="Q104" s="249"/>
      <c r="R104" s="249"/>
      <c r="S104" s="249"/>
      <c r="T104" s="249"/>
      <c r="U104" s="249"/>
      <c r="V104" s="249"/>
      <c r="W104" s="253"/>
    </row>
    <row r="105" spans="3:23" ht="18.75" customHeight="1" x14ac:dyDescent="0.25">
      <c r="C105" s="88">
        <v>102</v>
      </c>
      <c r="D105" s="130"/>
      <c r="E105" s="131"/>
      <c r="F105" s="132"/>
      <c r="G105" s="133"/>
      <c r="H105" s="134"/>
      <c r="I105" s="134"/>
      <c r="J105" s="135"/>
      <c r="K105" s="134"/>
      <c r="L105" s="134"/>
      <c r="M105" s="136"/>
      <c r="N105" s="246"/>
      <c r="O105" s="247"/>
      <c r="P105" s="247"/>
      <c r="Q105" s="247"/>
      <c r="R105" s="247"/>
      <c r="S105" s="247"/>
      <c r="T105" s="247"/>
      <c r="U105" s="247"/>
      <c r="V105" s="247"/>
      <c r="W105" s="253"/>
    </row>
    <row r="106" spans="3:23" ht="18.75" customHeight="1" x14ac:dyDescent="0.25">
      <c r="C106" s="88">
        <v>103</v>
      </c>
      <c r="D106" s="130"/>
      <c r="E106" s="131"/>
      <c r="F106" s="132"/>
      <c r="G106" s="133"/>
      <c r="H106" s="134"/>
      <c r="I106" s="134"/>
      <c r="J106" s="135"/>
      <c r="K106" s="134"/>
      <c r="L106" s="134"/>
      <c r="M106" s="136"/>
      <c r="N106" s="248"/>
      <c r="O106" s="249"/>
      <c r="P106" s="249"/>
      <c r="Q106" s="249"/>
      <c r="R106" s="249"/>
      <c r="S106" s="249"/>
      <c r="T106" s="249"/>
      <c r="U106" s="249"/>
      <c r="V106" s="249"/>
      <c r="W106" s="253"/>
    </row>
    <row r="107" spans="3:23" ht="18.75" customHeight="1" x14ac:dyDescent="0.25">
      <c r="C107" s="88">
        <v>104</v>
      </c>
      <c r="D107" s="130"/>
      <c r="E107" s="131"/>
      <c r="F107" s="132"/>
      <c r="G107" s="133"/>
      <c r="H107" s="134"/>
      <c r="I107" s="134"/>
      <c r="J107" s="135"/>
      <c r="K107" s="134"/>
      <c r="L107" s="134"/>
      <c r="M107" s="136"/>
      <c r="N107" s="246"/>
      <c r="O107" s="247"/>
      <c r="P107" s="247"/>
      <c r="Q107" s="247"/>
      <c r="R107" s="247"/>
      <c r="S107" s="247"/>
      <c r="T107" s="247"/>
      <c r="U107" s="247"/>
      <c r="V107" s="247"/>
      <c r="W107" s="253"/>
    </row>
    <row r="108" spans="3:23" ht="18.75" customHeight="1" x14ac:dyDescent="0.25">
      <c r="C108" s="88">
        <v>105</v>
      </c>
      <c r="D108" s="130"/>
      <c r="E108" s="131"/>
      <c r="F108" s="132"/>
      <c r="G108" s="133"/>
      <c r="H108" s="134"/>
      <c r="I108" s="134"/>
      <c r="J108" s="135"/>
      <c r="K108" s="134"/>
      <c r="L108" s="134"/>
      <c r="M108" s="136"/>
      <c r="N108" s="248"/>
      <c r="O108" s="249"/>
      <c r="P108" s="249"/>
      <c r="Q108" s="249"/>
      <c r="R108" s="249"/>
      <c r="S108" s="249"/>
      <c r="T108" s="249"/>
      <c r="U108" s="249"/>
      <c r="V108" s="249"/>
      <c r="W108" s="253"/>
    </row>
    <row r="109" spans="3:23" ht="18.75" customHeight="1" x14ac:dyDescent="0.25">
      <c r="C109" s="88">
        <v>106</v>
      </c>
      <c r="D109" s="130"/>
      <c r="E109" s="131"/>
      <c r="F109" s="132"/>
      <c r="G109" s="133"/>
      <c r="H109" s="134"/>
      <c r="I109" s="134"/>
      <c r="J109" s="135"/>
      <c r="K109" s="134"/>
      <c r="L109" s="134"/>
      <c r="M109" s="136"/>
      <c r="N109" s="246"/>
      <c r="O109" s="247"/>
      <c r="P109" s="247"/>
      <c r="Q109" s="247"/>
      <c r="R109" s="247"/>
      <c r="S109" s="247"/>
      <c r="T109" s="247"/>
      <c r="U109" s="247"/>
      <c r="V109" s="247"/>
      <c r="W109" s="253"/>
    </row>
    <row r="110" spans="3:23" ht="18.75" customHeight="1" x14ac:dyDescent="0.25">
      <c r="C110" s="88">
        <v>107</v>
      </c>
      <c r="D110" s="130"/>
      <c r="E110" s="131"/>
      <c r="F110" s="132"/>
      <c r="G110" s="133"/>
      <c r="H110" s="134"/>
      <c r="I110" s="134"/>
      <c r="J110" s="135"/>
      <c r="K110" s="134"/>
      <c r="L110" s="134"/>
      <c r="M110" s="136"/>
      <c r="N110" s="248"/>
      <c r="O110" s="249"/>
      <c r="P110" s="249"/>
      <c r="Q110" s="249"/>
      <c r="R110" s="249"/>
      <c r="S110" s="249"/>
      <c r="T110" s="249"/>
      <c r="U110" s="249"/>
      <c r="V110" s="249"/>
      <c r="W110" s="253"/>
    </row>
    <row r="111" spans="3:23" ht="18.75" customHeight="1" x14ac:dyDescent="0.25">
      <c r="C111" s="88">
        <v>108</v>
      </c>
      <c r="D111" s="130"/>
      <c r="E111" s="131"/>
      <c r="F111" s="132"/>
      <c r="G111" s="133"/>
      <c r="H111" s="134"/>
      <c r="I111" s="134"/>
      <c r="J111" s="135"/>
      <c r="K111" s="134"/>
      <c r="L111" s="134"/>
      <c r="M111" s="136"/>
      <c r="N111" s="246"/>
      <c r="O111" s="247"/>
      <c r="P111" s="247"/>
      <c r="Q111" s="247"/>
      <c r="R111" s="247"/>
      <c r="S111" s="247"/>
      <c r="T111" s="247"/>
      <c r="U111" s="247"/>
      <c r="V111" s="247"/>
      <c r="W111" s="253"/>
    </row>
    <row r="112" spans="3:23" ht="18.75" customHeight="1" x14ac:dyDescent="0.25">
      <c r="C112" s="88">
        <v>109</v>
      </c>
      <c r="D112" s="130"/>
      <c r="E112" s="131"/>
      <c r="F112" s="132"/>
      <c r="G112" s="133"/>
      <c r="H112" s="134"/>
      <c r="I112" s="134"/>
      <c r="J112" s="135"/>
      <c r="K112" s="134"/>
      <c r="L112" s="134"/>
      <c r="M112" s="136"/>
      <c r="N112" s="248"/>
      <c r="O112" s="249"/>
      <c r="P112" s="249"/>
      <c r="Q112" s="249"/>
      <c r="R112" s="249"/>
      <c r="S112" s="249"/>
      <c r="T112" s="249"/>
      <c r="U112" s="249"/>
      <c r="V112" s="249"/>
      <c r="W112" s="253"/>
    </row>
    <row r="113" spans="3:23" ht="18.75" customHeight="1" x14ac:dyDescent="0.25">
      <c r="C113" s="88">
        <v>110</v>
      </c>
      <c r="D113" s="130"/>
      <c r="E113" s="131"/>
      <c r="F113" s="132"/>
      <c r="G113" s="133"/>
      <c r="H113" s="134"/>
      <c r="I113" s="134"/>
      <c r="J113" s="135"/>
      <c r="K113" s="134"/>
      <c r="L113" s="134"/>
      <c r="M113" s="136"/>
      <c r="N113" s="246"/>
      <c r="O113" s="247"/>
      <c r="P113" s="247"/>
      <c r="Q113" s="247"/>
      <c r="R113" s="247"/>
      <c r="S113" s="247"/>
      <c r="T113" s="247"/>
      <c r="U113" s="247"/>
      <c r="V113" s="247"/>
      <c r="W113" s="253"/>
    </row>
    <row r="114" spans="3:23" ht="18.75" customHeight="1" x14ac:dyDescent="0.25">
      <c r="C114" s="88">
        <v>111</v>
      </c>
      <c r="D114" s="130"/>
      <c r="E114" s="131"/>
      <c r="F114" s="132"/>
      <c r="G114" s="133"/>
      <c r="H114" s="134"/>
      <c r="I114" s="134"/>
      <c r="J114" s="135"/>
      <c r="K114" s="134"/>
      <c r="L114" s="134"/>
      <c r="M114" s="136"/>
      <c r="N114" s="248"/>
      <c r="O114" s="249"/>
      <c r="P114" s="249"/>
      <c r="Q114" s="249"/>
      <c r="R114" s="249"/>
      <c r="S114" s="249"/>
      <c r="T114" s="249"/>
      <c r="U114" s="249"/>
      <c r="V114" s="249"/>
      <c r="W114" s="253"/>
    </row>
    <row r="115" spans="3:23" ht="18.75" customHeight="1" x14ac:dyDescent="0.25">
      <c r="C115" s="88">
        <v>112</v>
      </c>
      <c r="D115" s="130"/>
      <c r="E115" s="131"/>
      <c r="F115" s="132"/>
      <c r="G115" s="133"/>
      <c r="H115" s="134"/>
      <c r="I115" s="134"/>
      <c r="J115" s="135"/>
      <c r="K115" s="134"/>
      <c r="L115" s="134"/>
      <c r="M115" s="136"/>
      <c r="N115" s="246"/>
      <c r="O115" s="247"/>
      <c r="P115" s="247"/>
      <c r="Q115" s="247"/>
      <c r="R115" s="247"/>
      <c r="S115" s="247"/>
      <c r="T115" s="247"/>
      <c r="U115" s="247"/>
      <c r="V115" s="247"/>
      <c r="W115" s="253"/>
    </row>
    <row r="116" spans="3:23" ht="18.75" customHeight="1" x14ac:dyDescent="0.25">
      <c r="C116" s="88">
        <v>113</v>
      </c>
      <c r="D116" s="130"/>
      <c r="E116" s="131"/>
      <c r="F116" s="132"/>
      <c r="G116" s="133"/>
      <c r="H116" s="134"/>
      <c r="I116" s="134"/>
      <c r="J116" s="135"/>
      <c r="K116" s="134"/>
      <c r="L116" s="134"/>
      <c r="M116" s="136"/>
      <c r="N116" s="248"/>
      <c r="O116" s="249"/>
      <c r="P116" s="249"/>
      <c r="Q116" s="249"/>
      <c r="R116" s="249"/>
      <c r="S116" s="249"/>
      <c r="T116" s="249"/>
      <c r="U116" s="249"/>
      <c r="V116" s="249"/>
      <c r="W116" s="253"/>
    </row>
    <row r="117" spans="3:23" ht="18.75" customHeight="1" x14ac:dyDescent="0.25">
      <c r="C117" s="88">
        <v>114</v>
      </c>
      <c r="D117" s="130"/>
      <c r="E117" s="131"/>
      <c r="F117" s="132"/>
      <c r="G117" s="133"/>
      <c r="H117" s="134"/>
      <c r="I117" s="134"/>
      <c r="J117" s="135"/>
      <c r="K117" s="134"/>
      <c r="L117" s="134"/>
      <c r="M117" s="136"/>
      <c r="N117" s="246"/>
      <c r="O117" s="247"/>
      <c r="P117" s="247"/>
      <c r="Q117" s="247"/>
      <c r="R117" s="247"/>
      <c r="S117" s="247"/>
      <c r="T117" s="247"/>
      <c r="U117" s="247"/>
      <c r="V117" s="247"/>
      <c r="W117" s="253"/>
    </row>
    <row r="118" spans="3:23" ht="18.75" customHeight="1" x14ac:dyDescent="0.25">
      <c r="C118" s="88">
        <v>115</v>
      </c>
      <c r="D118" s="130"/>
      <c r="E118" s="131"/>
      <c r="F118" s="132"/>
      <c r="G118" s="133"/>
      <c r="H118" s="134"/>
      <c r="I118" s="134"/>
      <c r="J118" s="135"/>
      <c r="K118" s="134"/>
      <c r="L118" s="134"/>
      <c r="M118" s="136"/>
      <c r="N118" s="248"/>
      <c r="O118" s="249"/>
      <c r="P118" s="249"/>
      <c r="Q118" s="249"/>
      <c r="R118" s="249"/>
      <c r="S118" s="249"/>
      <c r="T118" s="249"/>
      <c r="U118" s="249"/>
      <c r="V118" s="249"/>
      <c r="W118" s="253"/>
    </row>
    <row r="119" spans="3:23" ht="18.75" customHeight="1" x14ac:dyDescent="0.25">
      <c r="C119" s="88">
        <v>116</v>
      </c>
      <c r="D119" s="130"/>
      <c r="E119" s="131"/>
      <c r="F119" s="132"/>
      <c r="G119" s="133"/>
      <c r="H119" s="134"/>
      <c r="I119" s="134"/>
      <c r="J119" s="135"/>
      <c r="K119" s="134"/>
      <c r="L119" s="134"/>
      <c r="M119" s="136"/>
      <c r="N119" s="246"/>
      <c r="O119" s="247"/>
      <c r="P119" s="247"/>
      <c r="Q119" s="247"/>
      <c r="R119" s="247"/>
      <c r="S119" s="247"/>
      <c r="T119" s="247"/>
      <c r="U119" s="247"/>
      <c r="V119" s="247"/>
      <c r="W119" s="253"/>
    </row>
    <row r="120" spans="3:23" ht="18.75" customHeight="1" x14ac:dyDescent="0.25">
      <c r="C120" s="88">
        <v>117</v>
      </c>
      <c r="D120" s="130"/>
      <c r="E120" s="131"/>
      <c r="F120" s="132"/>
      <c r="G120" s="133"/>
      <c r="H120" s="134"/>
      <c r="I120" s="134"/>
      <c r="J120" s="135"/>
      <c r="K120" s="134"/>
      <c r="L120" s="134"/>
      <c r="M120" s="136"/>
      <c r="N120" s="248"/>
      <c r="O120" s="249"/>
      <c r="P120" s="249"/>
      <c r="Q120" s="249"/>
      <c r="R120" s="249"/>
      <c r="S120" s="249"/>
      <c r="T120" s="249"/>
      <c r="U120" s="249"/>
      <c r="V120" s="249"/>
      <c r="W120" s="253"/>
    </row>
    <row r="121" spans="3:23" ht="18.75" customHeight="1" x14ac:dyDescent="0.25">
      <c r="C121" s="88">
        <v>118</v>
      </c>
      <c r="D121" s="130"/>
      <c r="E121" s="131"/>
      <c r="F121" s="132"/>
      <c r="G121" s="133"/>
      <c r="H121" s="134"/>
      <c r="I121" s="134"/>
      <c r="J121" s="135"/>
      <c r="K121" s="134"/>
      <c r="L121" s="134"/>
      <c r="M121" s="136"/>
      <c r="N121" s="246"/>
      <c r="O121" s="247"/>
      <c r="P121" s="247"/>
      <c r="Q121" s="247"/>
      <c r="R121" s="247"/>
      <c r="S121" s="247"/>
      <c r="T121" s="247"/>
      <c r="U121" s="247"/>
      <c r="V121" s="247"/>
      <c r="W121" s="253"/>
    </row>
    <row r="122" spans="3:23" ht="18.75" customHeight="1" x14ac:dyDescent="0.25">
      <c r="C122" s="88">
        <v>119</v>
      </c>
      <c r="D122" s="130"/>
      <c r="E122" s="131"/>
      <c r="F122" s="132"/>
      <c r="G122" s="133"/>
      <c r="H122" s="134"/>
      <c r="I122" s="134"/>
      <c r="J122" s="135"/>
      <c r="K122" s="134"/>
      <c r="L122" s="134"/>
      <c r="M122" s="136"/>
      <c r="N122" s="248"/>
      <c r="O122" s="249"/>
      <c r="P122" s="249"/>
      <c r="Q122" s="249"/>
      <c r="R122" s="249"/>
      <c r="S122" s="249"/>
      <c r="T122" s="249"/>
      <c r="U122" s="249"/>
      <c r="V122" s="249"/>
      <c r="W122" s="253"/>
    </row>
    <row r="123" spans="3:23" ht="18.75" customHeight="1" x14ac:dyDescent="0.25">
      <c r="C123" s="88">
        <v>120</v>
      </c>
      <c r="D123" s="130"/>
      <c r="E123" s="131"/>
      <c r="F123" s="132"/>
      <c r="G123" s="133"/>
      <c r="H123" s="134"/>
      <c r="I123" s="134"/>
      <c r="J123" s="135"/>
      <c r="K123" s="134"/>
      <c r="L123" s="134"/>
      <c r="M123" s="136"/>
      <c r="N123" s="246"/>
      <c r="O123" s="247"/>
      <c r="P123" s="247"/>
      <c r="Q123" s="247"/>
      <c r="R123" s="247"/>
      <c r="S123" s="247"/>
      <c r="T123" s="247"/>
      <c r="U123" s="247"/>
      <c r="V123" s="247"/>
      <c r="W123" s="253"/>
    </row>
    <row r="124" spans="3:23" ht="18.75" customHeight="1" x14ac:dyDescent="0.25">
      <c r="C124" s="88">
        <v>121</v>
      </c>
      <c r="D124" s="130"/>
      <c r="E124" s="131"/>
      <c r="F124" s="132"/>
      <c r="G124" s="133"/>
      <c r="H124" s="134"/>
      <c r="I124" s="134"/>
      <c r="J124" s="135"/>
      <c r="K124" s="134"/>
      <c r="L124" s="134"/>
      <c r="M124" s="136"/>
      <c r="N124" s="248"/>
      <c r="O124" s="249"/>
      <c r="P124" s="249"/>
      <c r="Q124" s="249"/>
      <c r="R124" s="249"/>
      <c r="S124" s="249"/>
      <c r="T124" s="249"/>
      <c r="U124" s="249"/>
      <c r="V124" s="249"/>
      <c r="W124" s="253"/>
    </row>
    <row r="125" spans="3:23" ht="18.75" customHeight="1" x14ac:dyDescent="0.25">
      <c r="C125" s="88">
        <v>122</v>
      </c>
      <c r="D125" s="130"/>
      <c r="E125" s="131"/>
      <c r="F125" s="132"/>
      <c r="G125" s="133"/>
      <c r="H125" s="134"/>
      <c r="I125" s="134"/>
      <c r="J125" s="135"/>
      <c r="K125" s="134"/>
      <c r="L125" s="134"/>
      <c r="M125" s="136"/>
      <c r="N125" s="246"/>
      <c r="O125" s="247"/>
      <c r="P125" s="247"/>
      <c r="Q125" s="247"/>
      <c r="R125" s="247"/>
      <c r="S125" s="247"/>
      <c r="T125" s="247"/>
      <c r="U125" s="247"/>
      <c r="V125" s="247"/>
      <c r="W125" s="253"/>
    </row>
    <row r="126" spans="3:23" ht="18.75" customHeight="1" x14ac:dyDescent="0.25">
      <c r="C126" s="88">
        <v>123</v>
      </c>
      <c r="D126" s="130"/>
      <c r="E126" s="131"/>
      <c r="F126" s="132"/>
      <c r="G126" s="133"/>
      <c r="H126" s="134"/>
      <c r="I126" s="134"/>
      <c r="J126" s="135"/>
      <c r="K126" s="134"/>
      <c r="L126" s="134"/>
      <c r="M126" s="136"/>
      <c r="N126" s="248"/>
      <c r="O126" s="249"/>
      <c r="P126" s="249"/>
      <c r="Q126" s="249"/>
      <c r="R126" s="249"/>
      <c r="S126" s="249"/>
      <c r="T126" s="249"/>
      <c r="U126" s="249"/>
      <c r="V126" s="249"/>
      <c r="W126" s="253"/>
    </row>
    <row r="127" spans="3:23" ht="18.75" customHeight="1" x14ac:dyDescent="0.25">
      <c r="C127" s="88">
        <v>124</v>
      </c>
      <c r="D127" s="130"/>
      <c r="E127" s="131"/>
      <c r="F127" s="132"/>
      <c r="G127" s="133"/>
      <c r="H127" s="134"/>
      <c r="I127" s="134"/>
      <c r="J127" s="135"/>
      <c r="K127" s="134"/>
      <c r="L127" s="134"/>
      <c r="M127" s="136"/>
      <c r="N127" s="246"/>
      <c r="O127" s="247"/>
      <c r="P127" s="247"/>
      <c r="Q127" s="247"/>
      <c r="R127" s="247"/>
      <c r="S127" s="247"/>
      <c r="T127" s="247"/>
      <c r="U127" s="247"/>
      <c r="V127" s="247"/>
      <c r="W127" s="253"/>
    </row>
    <row r="128" spans="3:23" ht="18.75" customHeight="1" x14ac:dyDescent="0.25">
      <c r="C128" s="88">
        <v>125</v>
      </c>
      <c r="D128" s="130"/>
      <c r="E128" s="131"/>
      <c r="F128" s="132"/>
      <c r="G128" s="133"/>
      <c r="H128" s="134"/>
      <c r="I128" s="134"/>
      <c r="J128" s="135"/>
      <c r="K128" s="134"/>
      <c r="L128" s="134"/>
      <c r="M128" s="136"/>
      <c r="N128" s="248"/>
      <c r="O128" s="249"/>
      <c r="P128" s="249"/>
      <c r="Q128" s="249"/>
      <c r="R128" s="249"/>
      <c r="S128" s="249"/>
      <c r="T128" s="249"/>
      <c r="U128" s="249"/>
      <c r="V128" s="249"/>
      <c r="W128" s="253"/>
    </row>
    <row r="129" spans="3:23" ht="18.75" customHeight="1" x14ac:dyDescent="0.25">
      <c r="C129" s="88">
        <v>126</v>
      </c>
      <c r="D129" s="130"/>
      <c r="E129" s="131"/>
      <c r="F129" s="132"/>
      <c r="G129" s="133"/>
      <c r="H129" s="134"/>
      <c r="I129" s="134"/>
      <c r="J129" s="135"/>
      <c r="K129" s="134"/>
      <c r="L129" s="134"/>
      <c r="M129" s="136"/>
      <c r="N129" s="246"/>
      <c r="O129" s="247"/>
      <c r="P129" s="247"/>
      <c r="Q129" s="247"/>
      <c r="R129" s="247"/>
      <c r="S129" s="247"/>
      <c r="T129" s="247"/>
      <c r="U129" s="247"/>
      <c r="V129" s="247"/>
      <c r="W129" s="253"/>
    </row>
    <row r="130" spans="3:23" ht="18.75" customHeight="1" x14ac:dyDescent="0.25">
      <c r="C130" s="88">
        <v>127</v>
      </c>
      <c r="D130" s="130"/>
      <c r="E130" s="131"/>
      <c r="F130" s="132"/>
      <c r="G130" s="133"/>
      <c r="H130" s="134"/>
      <c r="I130" s="134"/>
      <c r="J130" s="135"/>
      <c r="K130" s="134"/>
      <c r="L130" s="134"/>
      <c r="M130" s="136"/>
      <c r="N130" s="248"/>
      <c r="O130" s="249"/>
      <c r="P130" s="249"/>
      <c r="Q130" s="249"/>
      <c r="R130" s="249"/>
      <c r="S130" s="249"/>
      <c r="T130" s="249"/>
      <c r="U130" s="249"/>
      <c r="V130" s="249"/>
      <c r="W130" s="253"/>
    </row>
    <row r="131" spans="3:23" ht="18.75" customHeight="1" x14ac:dyDescent="0.25">
      <c r="C131" s="88">
        <v>128</v>
      </c>
      <c r="D131" s="130"/>
      <c r="E131" s="131"/>
      <c r="F131" s="132"/>
      <c r="G131" s="133"/>
      <c r="H131" s="134"/>
      <c r="I131" s="134"/>
      <c r="J131" s="135"/>
      <c r="K131" s="134"/>
      <c r="L131" s="134"/>
      <c r="M131" s="136"/>
      <c r="N131" s="246"/>
      <c r="O131" s="247"/>
      <c r="P131" s="247"/>
      <c r="Q131" s="247"/>
      <c r="R131" s="247"/>
      <c r="S131" s="247"/>
      <c r="T131" s="247"/>
      <c r="U131" s="247"/>
      <c r="V131" s="247"/>
      <c r="W131" s="253"/>
    </row>
    <row r="132" spans="3:23" ht="18.75" customHeight="1" x14ac:dyDescent="0.25">
      <c r="C132" s="88">
        <v>129</v>
      </c>
      <c r="D132" s="130"/>
      <c r="E132" s="131"/>
      <c r="F132" s="132"/>
      <c r="G132" s="133"/>
      <c r="H132" s="134"/>
      <c r="I132" s="134"/>
      <c r="J132" s="135"/>
      <c r="K132" s="134"/>
      <c r="L132" s="134"/>
      <c r="M132" s="136"/>
      <c r="N132" s="248"/>
      <c r="O132" s="249"/>
      <c r="P132" s="249"/>
      <c r="Q132" s="249"/>
      <c r="R132" s="249"/>
      <c r="S132" s="249"/>
      <c r="T132" s="249"/>
      <c r="U132" s="249"/>
      <c r="V132" s="249"/>
      <c r="W132" s="253"/>
    </row>
    <row r="133" spans="3:23" ht="18.75" customHeight="1" x14ac:dyDescent="0.25">
      <c r="C133" s="88">
        <v>130</v>
      </c>
      <c r="D133" s="130"/>
      <c r="E133" s="131"/>
      <c r="F133" s="132"/>
      <c r="G133" s="133"/>
      <c r="H133" s="134"/>
      <c r="I133" s="134"/>
      <c r="J133" s="135"/>
      <c r="K133" s="134"/>
      <c r="L133" s="134"/>
      <c r="M133" s="136"/>
      <c r="N133" s="246"/>
      <c r="O133" s="247"/>
      <c r="P133" s="247"/>
      <c r="Q133" s="247"/>
      <c r="R133" s="247"/>
      <c r="S133" s="247"/>
      <c r="T133" s="247"/>
      <c r="U133" s="247"/>
      <c r="V133" s="247"/>
      <c r="W133" s="253"/>
    </row>
    <row r="134" spans="3:23" ht="18.75" customHeight="1" x14ac:dyDescent="0.25">
      <c r="C134" s="88">
        <v>131</v>
      </c>
      <c r="D134" s="130"/>
      <c r="E134" s="131"/>
      <c r="F134" s="132"/>
      <c r="G134" s="133"/>
      <c r="H134" s="134"/>
      <c r="I134" s="134"/>
      <c r="J134" s="135"/>
      <c r="K134" s="134"/>
      <c r="L134" s="134"/>
      <c r="M134" s="136"/>
      <c r="N134" s="248"/>
      <c r="O134" s="249"/>
      <c r="P134" s="249"/>
      <c r="Q134" s="249"/>
      <c r="R134" s="249"/>
      <c r="S134" s="249"/>
      <c r="T134" s="249"/>
      <c r="U134" s="249"/>
      <c r="V134" s="249"/>
      <c r="W134" s="253"/>
    </row>
    <row r="135" spans="3:23" ht="18.75" customHeight="1" x14ac:dyDescent="0.25">
      <c r="C135" s="88">
        <v>132</v>
      </c>
      <c r="D135" s="130"/>
      <c r="E135" s="131"/>
      <c r="F135" s="132"/>
      <c r="G135" s="133"/>
      <c r="H135" s="134"/>
      <c r="I135" s="134"/>
      <c r="J135" s="135"/>
      <c r="K135" s="134"/>
      <c r="L135" s="134"/>
      <c r="M135" s="136"/>
      <c r="N135" s="246"/>
      <c r="O135" s="247"/>
      <c r="P135" s="247"/>
      <c r="Q135" s="247"/>
      <c r="R135" s="247"/>
      <c r="S135" s="247"/>
      <c r="T135" s="247"/>
      <c r="U135" s="247"/>
      <c r="V135" s="247"/>
      <c r="W135" s="253"/>
    </row>
    <row r="136" spans="3:23" ht="18.75" customHeight="1" x14ac:dyDescent="0.25">
      <c r="C136" s="88">
        <v>133</v>
      </c>
      <c r="D136" s="130"/>
      <c r="E136" s="131"/>
      <c r="F136" s="132"/>
      <c r="G136" s="133"/>
      <c r="H136" s="134"/>
      <c r="I136" s="134"/>
      <c r="J136" s="135"/>
      <c r="K136" s="134"/>
      <c r="L136" s="134"/>
      <c r="M136" s="136"/>
      <c r="N136" s="248"/>
      <c r="O136" s="249"/>
      <c r="P136" s="249"/>
      <c r="Q136" s="249"/>
      <c r="R136" s="249"/>
      <c r="S136" s="249"/>
      <c r="T136" s="249"/>
      <c r="U136" s="249"/>
      <c r="V136" s="249"/>
      <c r="W136" s="253"/>
    </row>
    <row r="137" spans="3:23" ht="18.75" customHeight="1" x14ac:dyDescent="0.25">
      <c r="C137" s="88">
        <v>134</v>
      </c>
      <c r="D137" s="130"/>
      <c r="E137" s="131"/>
      <c r="F137" s="132"/>
      <c r="G137" s="133"/>
      <c r="H137" s="134"/>
      <c r="I137" s="134"/>
      <c r="J137" s="135"/>
      <c r="K137" s="134"/>
      <c r="L137" s="134"/>
      <c r="M137" s="136"/>
      <c r="N137" s="246"/>
      <c r="O137" s="247"/>
      <c r="P137" s="247"/>
      <c r="Q137" s="247"/>
      <c r="R137" s="247"/>
      <c r="S137" s="247"/>
      <c r="T137" s="247"/>
      <c r="U137" s="247"/>
      <c r="V137" s="247"/>
      <c r="W137" s="253"/>
    </row>
    <row r="138" spans="3:23" ht="18.75" customHeight="1" x14ac:dyDescent="0.25">
      <c r="C138" s="88">
        <v>135</v>
      </c>
      <c r="D138" s="130"/>
      <c r="E138" s="131"/>
      <c r="F138" s="132"/>
      <c r="G138" s="133"/>
      <c r="H138" s="134"/>
      <c r="I138" s="134"/>
      <c r="J138" s="135"/>
      <c r="K138" s="134"/>
      <c r="L138" s="134"/>
      <c r="M138" s="136"/>
      <c r="N138" s="248"/>
      <c r="O138" s="249"/>
      <c r="P138" s="249"/>
      <c r="Q138" s="249"/>
      <c r="R138" s="249"/>
      <c r="S138" s="249"/>
      <c r="T138" s="249"/>
      <c r="U138" s="249"/>
      <c r="V138" s="249"/>
      <c r="W138" s="253"/>
    </row>
    <row r="139" spans="3:23" ht="18.75" customHeight="1" x14ac:dyDescent="0.25">
      <c r="C139" s="88">
        <v>136</v>
      </c>
      <c r="D139" s="130"/>
      <c r="E139" s="131"/>
      <c r="F139" s="132"/>
      <c r="G139" s="133"/>
      <c r="H139" s="134"/>
      <c r="I139" s="134"/>
      <c r="J139" s="135"/>
      <c r="K139" s="134"/>
      <c r="L139" s="134"/>
      <c r="M139" s="136"/>
      <c r="N139" s="246"/>
      <c r="O139" s="247"/>
      <c r="P139" s="247"/>
      <c r="Q139" s="247"/>
      <c r="R139" s="247"/>
      <c r="S139" s="247"/>
      <c r="T139" s="247"/>
      <c r="U139" s="247"/>
      <c r="V139" s="247"/>
      <c r="W139" s="253"/>
    </row>
    <row r="140" spans="3:23" ht="18.75" customHeight="1" x14ac:dyDescent="0.25">
      <c r="C140" s="88">
        <v>137</v>
      </c>
      <c r="D140" s="130"/>
      <c r="E140" s="131"/>
      <c r="F140" s="132"/>
      <c r="G140" s="133"/>
      <c r="H140" s="134"/>
      <c r="I140" s="134"/>
      <c r="J140" s="135"/>
      <c r="K140" s="134"/>
      <c r="L140" s="134"/>
      <c r="M140" s="136"/>
      <c r="N140" s="248"/>
      <c r="O140" s="249"/>
      <c r="P140" s="249"/>
      <c r="Q140" s="249"/>
      <c r="R140" s="249"/>
      <c r="S140" s="249"/>
      <c r="T140" s="249"/>
      <c r="U140" s="249"/>
      <c r="V140" s="249"/>
      <c r="W140" s="253"/>
    </row>
    <row r="141" spans="3:23" ht="18.75" customHeight="1" x14ac:dyDescent="0.25">
      <c r="C141" s="88">
        <v>138</v>
      </c>
      <c r="D141" s="130"/>
      <c r="E141" s="131"/>
      <c r="F141" s="132"/>
      <c r="G141" s="133"/>
      <c r="H141" s="134"/>
      <c r="I141" s="134"/>
      <c r="J141" s="135"/>
      <c r="K141" s="134"/>
      <c r="L141" s="134"/>
      <c r="M141" s="136"/>
      <c r="N141" s="246"/>
      <c r="O141" s="247"/>
      <c r="P141" s="247"/>
      <c r="Q141" s="247"/>
      <c r="R141" s="247"/>
      <c r="S141" s="247"/>
      <c r="T141" s="247"/>
      <c r="U141" s="247"/>
      <c r="V141" s="247"/>
      <c r="W141" s="253"/>
    </row>
    <row r="142" spans="3:23" ht="18.75" customHeight="1" x14ac:dyDescent="0.25">
      <c r="C142" s="88">
        <v>139</v>
      </c>
      <c r="D142" s="130"/>
      <c r="E142" s="131"/>
      <c r="F142" s="132"/>
      <c r="G142" s="133"/>
      <c r="H142" s="134"/>
      <c r="I142" s="134"/>
      <c r="J142" s="135"/>
      <c r="K142" s="134"/>
      <c r="L142" s="134"/>
      <c r="M142" s="136"/>
      <c r="N142" s="248"/>
      <c r="O142" s="249"/>
      <c r="P142" s="249"/>
      <c r="Q142" s="249"/>
      <c r="R142" s="249"/>
      <c r="S142" s="249"/>
      <c r="T142" s="249"/>
      <c r="U142" s="249"/>
      <c r="V142" s="249"/>
      <c r="W142" s="253"/>
    </row>
    <row r="143" spans="3:23" ht="18.75" customHeight="1" x14ac:dyDescent="0.25">
      <c r="C143" s="88">
        <v>140</v>
      </c>
      <c r="D143" s="130"/>
      <c r="E143" s="131"/>
      <c r="F143" s="132"/>
      <c r="G143" s="133"/>
      <c r="H143" s="134"/>
      <c r="I143" s="134"/>
      <c r="J143" s="135"/>
      <c r="K143" s="134"/>
      <c r="L143" s="134"/>
      <c r="M143" s="136"/>
      <c r="N143" s="246"/>
      <c r="O143" s="247"/>
      <c r="P143" s="247"/>
      <c r="Q143" s="247"/>
      <c r="R143" s="247"/>
      <c r="S143" s="247"/>
      <c r="T143" s="247"/>
      <c r="U143" s="247"/>
      <c r="V143" s="247"/>
      <c r="W143" s="253"/>
    </row>
    <row r="144" spans="3:23" ht="18.75" customHeight="1" x14ac:dyDescent="0.25">
      <c r="C144" s="88">
        <v>141</v>
      </c>
      <c r="D144" s="130"/>
      <c r="E144" s="131"/>
      <c r="F144" s="132"/>
      <c r="G144" s="133"/>
      <c r="H144" s="134"/>
      <c r="I144" s="134"/>
      <c r="J144" s="135"/>
      <c r="K144" s="134"/>
      <c r="L144" s="134"/>
      <c r="M144" s="136"/>
      <c r="N144" s="248"/>
      <c r="O144" s="249"/>
      <c r="P144" s="249"/>
      <c r="Q144" s="249"/>
      <c r="R144" s="249"/>
      <c r="S144" s="249"/>
      <c r="T144" s="249"/>
      <c r="U144" s="249"/>
      <c r="V144" s="249"/>
      <c r="W144" s="253"/>
    </row>
    <row r="145" spans="3:23" ht="18.75" customHeight="1" x14ac:dyDescent="0.25">
      <c r="C145" s="88">
        <v>142</v>
      </c>
      <c r="D145" s="130"/>
      <c r="E145" s="131"/>
      <c r="F145" s="132"/>
      <c r="G145" s="133"/>
      <c r="H145" s="134"/>
      <c r="I145" s="134"/>
      <c r="J145" s="135"/>
      <c r="K145" s="134"/>
      <c r="L145" s="134"/>
      <c r="M145" s="136"/>
      <c r="N145" s="246"/>
      <c r="O145" s="247"/>
      <c r="P145" s="247"/>
      <c r="Q145" s="247"/>
      <c r="R145" s="247"/>
      <c r="S145" s="247"/>
      <c r="T145" s="247"/>
      <c r="U145" s="247"/>
      <c r="V145" s="247"/>
      <c r="W145" s="253"/>
    </row>
    <row r="146" spans="3:23" ht="18.75" customHeight="1" x14ac:dyDescent="0.25">
      <c r="C146" s="88">
        <v>143</v>
      </c>
      <c r="D146" s="130"/>
      <c r="E146" s="131"/>
      <c r="F146" s="132"/>
      <c r="G146" s="133"/>
      <c r="H146" s="134"/>
      <c r="I146" s="134"/>
      <c r="J146" s="135"/>
      <c r="K146" s="134"/>
      <c r="L146" s="134"/>
      <c r="M146" s="136"/>
      <c r="N146" s="248"/>
      <c r="O146" s="249"/>
      <c r="P146" s="249"/>
      <c r="Q146" s="249"/>
      <c r="R146" s="249"/>
      <c r="S146" s="249"/>
      <c r="T146" s="249"/>
      <c r="U146" s="249"/>
      <c r="V146" s="249"/>
      <c r="W146" s="253"/>
    </row>
    <row r="147" spans="3:23" ht="18.75" customHeight="1" x14ac:dyDescent="0.25">
      <c r="C147" s="88">
        <v>144</v>
      </c>
      <c r="D147" s="130"/>
      <c r="E147" s="131"/>
      <c r="F147" s="132"/>
      <c r="G147" s="133"/>
      <c r="H147" s="134"/>
      <c r="I147" s="134"/>
      <c r="J147" s="135"/>
      <c r="K147" s="134"/>
      <c r="L147" s="134"/>
      <c r="M147" s="136"/>
      <c r="N147" s="246"/>
      <c r="O147" s="247"/>
      <c r="P147" s="247"/>
      <c r="Q147" s="247"/>
      <c r="R147" s="247"/>
      <c r="S147" s="247"/>
      <c r="T147" s="247"/>
      <c r="U147" s="247"/>
      <c r="V147" s="247"/>
      <c r="W147" s="253"/>
    </row>
    <row r="148" spans="3:23" ht="18.75" customHeight="1" x14ac:dyDescent="0.25">
      <c r="C148" s="88">
        <v>145</v>
      </c>
      <c r="D148" s="130"/>
      <c r="E148" s="131"/>
      <c r="F148" s="132"/>
      <c r="G148" s="133"/>
      <c r="H148" s="134"/>
      <c r="I148" s="134"/>
      <c r="J148" s="135"/>
      <c r="K148" s="134"/>
      <c r="L148" s="134"/>
      <c r="M148" s="136"/>
      <c r="N148" s="248"/>
      <c r="O148" s="249"/>
      <c r="P148" s="249"/>
      <c r="Q148" s="249"/>
      <c r="R148" s="249"/>
      <c r="S148" s="249"/>
      <c r="T148" s="249"/>
      <c r="U148" s="249"/>
      <c r="V148" s="249"/>
      <c r="W148" s="253"/>
    </row>
    <row r="149" spans="3:23" ht="18.75" customHeight="1" x14ac:dyDescent="0.25">
      <c r="C149" s="88">
        <v>146</v>
      </c>
      <c r="D149" s="130"/>
      <c r="E149" s="131"/>
      <c r="F149" s="132"/>
      <c r="G149" s="133"/>
      <c r="H149" s="134"/>
      <c r="I149" s="134"/>
      <c r="J149" s="135"/>
      <c r="K149" s="134"/>
      <c r="L149" s="134"/>
      <c r="M149" s="136"/>
      <c r="N149" s="246"/>
      <c r="O149" s="247"/>
      <c r="P149" s="247"/>
      <c r="Q149" s="247"/>
      <c r="R149" s="247"/>
      <c r="S149" s="247"/>
      <c r="T149" s="247"/>
      <c r="U149" s="247"/>
      <c r="V149" s="247"/>
      <c r="W149" s="253"/>
    </row>
    <row r="150" spans="3:23" ht="18.75" customHeight="1" x14ac:dyDescent="0.25">
      <c r="C150" s="88">
        <v>147</v>
      </c>
      <c r="D150" s="130"/>
      <c r="E150" s="131"/>
      <c r="F150" s="132"/>
      <c r="G150" s="133"/>
      <c r="H150" s="134"/>
      <c r="I150" s="134"/>
      <c r="J150" s="135"/>
      <c r="K150" s="134"/>
      <c r="L150" s="134"/>
      <c r="M150" s="136"/>
      <c r="N150" s="248"/>
      <c r="O150" s="249"/>
      <c r="P150" s="249"/>
      <c r="Q150" s="249"/>
      <c r="R150" s="249"/>
      <c r="S150" s="249"/>
      <c r="T150" s="249"/>
      <c r="U150" s="249"/>
      <c r="V150" s="249"/>
      <c r="W150" s="253"/>
    </row>
    <row r="151" spans="3:23" ht="18.75" customHeight="1" x14ac:dyDescent="0.25">
      <c r="C151" s="88">
        <v>148</v>
      </c>
      <c r="D151" s="130"/>
      <c r="E151" s="131"/>
      <c r="F151" s="132"/>
      <c r="G151" s="133"/>
      <c r="H151" s="134"/>
      <c r="I151" s="134"/>
      <c r="J151" s="135"/>
      <c r="K151" s="134"/>
      <c r="L151" s="134"/>
      <c r="M151" s="136"/>
      <c r="N151" s="246"/>
      <c r="O151" s="247"/>
      <c r="P151" s="247"/>
      <c r="Q151" s="247"/>
      <c r="R151" s="247"/>
      <c r="S151" s="247"/>
      <c r="T151" s="247"/>
      <c r="U151" s="247"/>
      <c r="V151" s="247"/>
      <c r="W151" s="253"/>
    </row>
    <row r="152" spans="3:23" ht="18.75" customHeight="1" x14ac:dyDescent="0.25">
      <c r="C152" s="88">
        <v>149</v>
      </c>
      <c r="D152" s="130"/>
      <c r="E152" s="131"/>
      <c r="F152" s="132"/>
      <c r="G152" s="133"/>
      <c r="H152" s="134"/>
      <c r="I152" s="134"/>
      <c r="J152" s="135"/>
      <c r="K152" s="134"/>
      <c r="L152" s="134"/>
      <c r="M152" s="136"/>
      <c r="N152" s="248"/>
      <c r="O152" s="249"/>
      <c r="P152" s="249"/>
      <c r="Q152" s="249"/>
      <c r="R152" s="249"/>
      <c r="S152" s="249"/>
      <c r="T152" s="249"/>
      <c r="U152" s="249"/>
      <c r="V152" s="249"/>
      <c r="W152" s="253"/>
    </row>
    <row r="153" spans="3:23" ht="18.75" customHeight="1" x14ac:dyDescent="0.25">
      <c r="C153" s="88">
        <v>150</v>
      </c>
      <c r="D153" s="130"/>
      <c r="E153" s="131"/>
      <c r="F153" s="132"/>
      <c r="G153" s="133"/>
      <c r="H153" s="134"/>
      <c r="I153" s="134"/>
      <c r="J153" s="135"/>
      <c r="K153" s="134"/>
      <c r="L153" s="134"/>
      <c r="M153" s="136"/>
      <c r="N153" s="246"/>
      <c r="O153" s="247"/>
      <c r="P153" s="247"/>
      <c r="Q153" s="247"/>
      <c r="R153" s="247"/>
      <c r="S153" s="247"/>
      <c r="T153" s="247"/>
      <c r="U153" s="247"/>
      <c r="V153" s="247"/>
      <c r="W153" s="253"/>
    </row>
    <row r="154" spans="3:23" ht="18.75" customHeight="1" x14ac:dyDescent="0.25">
      <c r="C154" s="88">
        <v>151</v>
      </c>
      <c r="D154" s="130"/>
      <c r="E154" s="131"/>
      <c r="F154" s="132"/>
      <c r="G154" s="133"/>
      <c r="H154" s="134"/>
      <c r="I154" s="134"/>
      <c r="J154" s="135"/>
      <c r="K154" s="134"/>
      <c r="L154" s="134"/>
      <c r="M154" s="136"/>
      <c r="N154" s="248"/>
      <c r="O154" s="249"/>
      <c r="P154" s="249"/>
      <c r="Q154" s="249"/>
      <c r="R154" s="249"/>
      <c r="S154" s="249"/>
      <c r="T154" s="249"/>
      <c r="U154" s="249"/>
      <c r="V154" s="249"/>
      <c r="W154" s="253"/>
    </row>
    <row r="155" spans="3:23" ht="18.75" customHeight="1" x14ac:dyDescent="0.25">
      <c r="C155" s="88">
        <v>152</v>
      </c>
      <c r="D155" s="130"/>
      <c r="E155" s="131"/>
      <c r="F155" s="132"/>
      <c r="G155" s="133"/>
      <c r="H155" s="134"/>
      <c r="I155" s="134"/>
      <c r="J155" s="135"/>
      <c r="K155" s="134"/>
      <c r="L155" s="134"/>
      <c r="M155" s="136"/>
      <c r="N155" s="246"/>
      <c r="O155" s="247"/>
      <c r="P155" s="247"/>
      <c r="Q155" s="247"/>
      <c r="R155" s="247"/>
      <c r="S155" s="247"/>
      <c r="T155" s="247"/>
      <c r="U155" s="247"/>
      <c r="V155" s="247"/>
      <c r="W155" s="253"/>
    </row>
    <row r="156" spans="3:23" ht="18.75" customHeight="1" x14ac:dyDescent="0.25">
      <c r="C156" s="88">
        <v>153</v>
      </c>
      <c r="D156" s="130"/>
      <c r="E156" s="131"/>
      <c r="F156" s="132"/>
      <c r="G156" s="133"/>
      <c r="H156" s="134"/>
      <c r="I156" s="134"/>
      <c r="J156" s="135"/>
      <c r="K156" s="134"/>
      <c r="L156" s="134"/>
      <c r="M156" s="136"/>
      <c r="N156" s="248"/>
      <c r="O156" s="249"/>
      <c r="P156" s="249"/>
      <c r="Q156" s="249"/>
      <c r="R156" s="249"/>
      <c r="S156" s="249"/>
      <c r="T156" s="249"/>
      <c r="U156" s="249"/>
      <c r="V156" s="249"/>
      <c r="W156" s="253"/>
    </row>
    <row r="157" spans="3:23" ht="18.75" customHeight="1" x14ac:dyDescent="0.25">
      <c r="C157" s="88">
        <v>154</v>
      </c>
      <c r="D157" s="130"/>
      <c r="E157" s="131"/>
      <c r="F157" s="132"/>
      <c r="G157" s="133"/>
      <c r="H157" s="134"/>
      <c r="I157" s="134"/>
      <c r="J157" s="135"/>
      <c r="K157" s="134"/>
      <c r="L157" s="134"/>
      <c r="M157" s="136"/>
      <c r="N157" s="246"/>
      <c r="O157" s="247"/>
      <c r="P157" s="247"/>
      <c r="Q157" s="247"/>
      <c r="R157" s="247"/>
      <c r="S157" s="247"/>
      <c r="T157" s="247"/>
      <c r="U157" s="247"/>
      <c r="V157" s="247"/>
      <c r="W157" s="253"/>
    </row>
    <row r="158" spans="3:23" ht="18.75" customHeight="1" x14ac:dyDescent="0.25">
      <c r="C158" s="88">
        <v>155</v>
      </c>
      <c r="D158" s="130"/>
      <c r="E158" s="131"/>
      <c r="F158" s="132"/>
      <c r="G158" s="133"/>
      <c r="H158" s="134"/>
      <c r="I158" s="134"/>
      <c r="J158" s="135"/>
      <c r="K158" s="134"/>
      <c r="L158" s="134"/>
      <c r="M158" s="136"/>
      <c r="N158" s="248"/>
      <c r="O158" s="249"/>
      <c r="P158" s="249"/>
      <c r="Q158" s="249"/>
      <c r="R158" s="249"/>
      <c r="S158" s="249"/>
      <c r="T158" s="249"/>
      <c r="U158" s="249"/>
      <c r="V158" s="249"/>
      <c r="W158" s="253"/>
    </row>
    <row r="159" spans="3:23" ht="18.75" customHeight="1" x14ac:dyDescent="0.25">
      <c r="C159" s="88">
        <v>156</v>
      </c>
      <c r="D159" s="130"/>
      <c r="E159" s="131"/>
      <c r="F159" s="132"/>
      <c r="G159" s="133"/>
      <c r="H159" s="134"/>
      <c r="I159" s="134"/>
      <c r="J159" s="135"/>
      <c r="K159" s="134"/>
      <c r="L159" s="134"/>
      <c r="M159" s="136"/>
      <c r="N159" s="246"/>
      <c r="O159" s="247"/>
      <c r="P159" s="247"/>
      <c r="Q159" s="247"/>
      <c r="R159" s="247"/>
      <c r="S159" s="247"/>
      <c r="T159" s="247"/>
      <c r="U159" s="247"/>
      <c r="V159" s="247"/>
      <c r="W159" s="253"/>
    </row>
    <row r="160" spans="3:23" ht="18.75" customHeight="1" x14ac:dyDescent="0.25">
      <c r="C160" s="88">
        <v>157</v>
      </c>
      <c r="D160" s="130"/>
      <c r="E160" s="131"/>
      <c r="F160" s="132"/>
      <c r="G160" s="133"/>
      <c r="H160" s="134"/>
      <c r="I160" s="134"/>
      <c r="J160" s="135"/>
      <c r="K160" s="134"/>
      <c r="L160" s="134"/>
      <c r="M160" s="136"/>
      <c r="N160" s="248"/>
      <c r="O160" s="249"/>
      <c r="P160" s="249"/>
      <c r="Q160" s="249"/>
      <c r="R160" s="249"/>
      <c r="S160" s="249"/>
      <c r="T160" s="249"/>
      <c r="U160" s="249"/>
      <c r="V160" s="249"/>
      <c r="W160" s="253"/>
    </row>
    <row r="161" spans="3:23" ht="18.75" customHeight="1" x14ac:dyDescent="0.25">
      <c r="C161" s="88">
        <v>158</v>
      </c>
      <c r="D161" s="130"/>
      <c r="E161" s="131"/>
      <c r="F161" s="132"/>
      <c r="G161" s="133"/>
      <c r="H161" s="134"/>
      <c r="I161" s="134"/>
      <c r="J161" s="135"/>
      <c r="K161" s="134"/>
      <c r="L161" s="134"/>
      <c r="M161" s="136"/>
      <c r="N161" s="246"/>
      <c r="O161" s="247"/>
      <c r="P161" s="247"/>
      <c r="Q161" s="247"/>
      <c r="R161" s="247"/>
      <c r="S161" s="247"/>
      <c r="T161" s="247"/>
      <c r="U161" s="247"/>
      <c r="V161" s="247"/>
      <c r="W161" s="253"/>
    </row>
    <row r="162" spans="3:23" ht="18.75" customHeight="1" x14ac:dyDescent="0.25">
      <c r="C162" s="88">
        <v>159</v>
      </c>
      <c r="D162" s="130"/>
      <c r="E162" s="131"/>
      <c r="F162" s="132"/>
      <c r="G162" s="133"/>
      <c r="H162" s="134"/>
      <c r="I162" s="134"/>
      <c r="J162" s="135"/>
      <c r="K162" s="134"/>
      <c r="L162" s="134"/>
      <c r="M162" s="136"/>
      <c r="N162" s="248"/>
      <c r="O162" s="249"/>
      <c r="P162" s="249"/>
      <c r="Q162" s="249"/>
      <c r="R162" s="249"/>
      <c r="S162" s="249"/>
      <c r="T162" s="249"/>
      <c r="U162" s="249"/>
      <c r="V162" s="249"/>
      <c r="W162" s="253"/>
    </row>
    <row r="163" spans="3:23" ht="18.75" customHeight="1" x14ac:dyDescent="0.25">
      <c r="C163" s="88">
        <v>160</v>
      </c>
      <c r="D163" s="130"/>
      <c r="E163" s="131"/>
      <c r="F163" s="132"/>
      <c r="G163" s="133"/>
      <c r="H163" s="134"/>
      <c r="I163" s="134"/>
      <c r="J163" s="135"/>
      <c r="K163" s="134"/>
      <c r="L163" s="134"/>
      <c r="M163" s="136"/>
      <c r="N163" s="246"/>
      <c r="O163" s="247"/>
      <c r="P163" s="247"/>
      <c r="Q163" s="247"/>
      <c r="R163" s="247"/>
      <c r="S163" s="247"/>
      <c r="T163" s="247"/>
      <c r="U163" s="247"/>
      <c r="V163" s="247"/>
      <c r="W163" s="253"/>
    </row>
    <row r="164" spans="3:23" ht="18.75" customHeight="1" x14ac:dyDescent="0.25">
      <c r="C164" s="88">
        <v>161</v>
      </c>
      <c r="D164" s="130"/>
      <c r="E164" s="131"/>
      <c r="F164" s="132"/>
      <c r="G164" s="133"/>
      <c r="H164" s="134"/>
      <c r="I164" s="134"/>
      <c r="J164" s="135"/>
      <c r="K164" s="134"/>
      <c r="L164" s="134"/>
      <c r="M164" s="136"/>
      <c r="N164" s="248"/>
      <c r="O164" s="249"/>
      <c r="P164" s="249"/>
      <c r="Q164" s="249"/>
      <c r="R164" s="249"/>
      <c r="S164" s="249"/>
      <c r="T164" s="249"/>
      <c r="U164" s="249"/>
      <c r="V164" s="249"/>
      <c r="W164" s="253"/>
    </row>
    <row r="165" spans="3:23" ht="18.75" customHeight="1" x14ac:dyDescent="0.25">
      <c r="C165" s="88">
        <v>162</v>
      </c>
      <c r="D165" s="130"/>
      <c r="E165" s="131"/>
      <c r="F165" s="132"/>
      <c r="G165" s="133"/>
      <c r="H165" s="134"/>
      <c r="I165" s="134"/>
      <c r="J165" s="135"/>
      <c r="K165" s="134"/>
      <c r="L165" s="134"/>
      <c r="M165" s="136"/>
      <c r="N165" s="246"/>
      <c r="O165" s="247"/>
      <c r="P165" s="247"/>
      <c r="Q165" s="247"/>
      <c r="R165" s="247"/>
      <c r="S165" s="247"/>
      <c r="T165" s="247"/>
      <c r="U165" s="247"/>
      <c r="V165" s="247"/>
      <c r="W165" s="253"/>
    </row>
    <row r="166" spans="3:23" ht="18.75" customHeight="1" x14ac:dyDescent="0.25">
      <c r="C166" s="88">
        <v>163</v>
      </c>
      <c r="D166" s="130"/>
      <c r="E166" s="131"/>
      <c r="F166" s="132"/>
      <c r="G166" s="133"/>
      <c r="H166" s="134"/>
      <c r="I166" s="134"/>
      <c r="J166" s="135"/>
      <c r="K166" s="134"/>
      <c r="L166" s="134"/>
      <c r="M166" s="136"/>
      <c r="N166" s="248"/>
      <c r="O166" s="249"/>
      <c r="P166" s="249"/>
      <c r="Q166" s="249"/>
      <c r="R166" s="249"/>
      <c r="S166" s="249"/>
      <c r="T166" s="249"/>
      <c r="U166" s="249"/>
      <c r="V166" s="249"/>
      <c r="W166" s="253"/>
    </row>
    <row r="167" spans="3:23" ht="18.75" customHeight="1" x14ac:dyDescent="0.25">
      <c r="C167" s="88">
        <v>164</v>
      </c>
      <c r="D167" s="130"/>
      <c r="E167" s="131"/>
      <c r="F167" s="132"/>
      <c r="G167" s="133"/>
      <c r="H167" s="134"/>
      <c r="I167" s="134"/>
      <c r="J167" s="135"/>
      <c r="K167" s="134"/>
      <c r="L167" s="134"/>
      <c r="M167" s="136"/>
      <c r="N167" s="246"/>
      <c r="O167" s="247"/>
      <c r="P167" s="247"/>
      <c r="Q167" s="247"/>
      <c r="R167" s="247"/>
      <c r="S167" s="247"/>
      <c r="T167" s="247"/>
      <c r="U167" s="247"/>
      <c r="V167" s="247"/>
      <c r="W167" s="253"/>
    </row>
    <row r="168" spans="3:23" ht="18.75" customHeight="1" x14ac:dyDescent="0.25">
      <c r="C168" s="88">
        <v>165</v>
      </c>
      <c r="D168" s="130"/>
      <c r="E168" s="131"/>
      <c r="F168" s="132"/>
      <c r="G168" s="133"/>
      <c r="H168" s="134"/>
      <c r="I168" s="134"/>
      <c r="J168" s="135"/>
      <c r="K168" s="134"/>
      <c r="L168" s="134"/>
      <c r="M168" s="136"/>
      <c r="N168" s="248"/>
      <c r="O168" s="249"/>
      <c r="P168" s="249"/>
      <c r="Q168" s="249"/>
      <c r="R168" s="249"/>
      <c r="S168" s="249"/>
      <c r="T168" s="249"/>
      <c r="U168" s="249"/>
      <c r="V168" s="249"/>
      <c r="W168" s="253"/>
    </row>
    <row r="169" spans="3:23" ht="18.75" customHeight="1" x14ac:dyDescent="0.25">
      <c r="C169" s="88">
        <v>166</v>
      </c>
      <c r="D169" s="130"/>
      <c r="E169" s="131"/>
      <c r="F169" s="132"/>
      <c r="G169" s="133"/>
      <c r="H169" s="134"/>
      <c r="I169" s="134"/>
      <c r="J169" s="135"/>
      <c r="K169" s="134"/>
      <c r="L169" s="134"/>
      <c r="M169" s="136"/>
      <c r="N169" s="246"/>
      <c r="O169" s="247"/>
      <c r="P169" s="247"/>
      <c r="Q169" s="247"/>
      <c r="R169" s="247"/>
      <c r="S169" s="247"/>
      <c r="T169" s="247"/>
      <c r="U169" s="247"/>
      <c r="V169" s="247"/>
      <c r="W169" s="253"/>
    </row>
    <row r="170" spans="3:23" ht="18.75" customHeight="1" x14ac:dyDescent="0.25">
      <c r="C170" s="88">
        <v>167</v>
      </c>
      <c r="D170" s="130"/>
      <c r="E170" s="131"/>
      <c r="F170" s="132"/>
      <c r="G170" s="133"/>
      <c r="H170" s="134"/>
      <c r="I170" s="134"/>
      <c r="J170" s="135"/>
      <c r="K170" s="134"/>
      <c r="L170" s="134"/>
      <c r="M170" s="136"/>
      <c r="N170" s="248"/>
      <c r="O170" s="249"/>
      <c r="P170" s="249"/>
      <c r="Q170" s="249"/>
      <c r="R170" s="249"/>
      <c r="S170" s="249"/>
      <c r="T170" s="249"/>
      <c r="U170" s="249"/>
      <c r="V170" s="249"/>
      <c r="W170" s="253"/>
    </row>
    <row r="171" spans="3:23" ht="18.75" customHeight="1" x14ac:dyDescent="0.25">
      <c r="C171" s="88">
        <v>168</v>
      </c>
      <c r="D171" s="130"/>
      <c r="E171" s="131"/>
      <c r="F171" s="132"/>
      <c r="G171" s="133"/>
      <c r="H171" s="134"/>
      <c r="I171" s="134"/>
      <c r="J171" s="135"/>
      <c r="K171" s="134"/>
      <c r="L171" s="134"/>
      <c r="M171" s="136"/>
      <c r="N171" s="246"/>
      <c r="O171" s="247"/>
      <c r="P171" s="247"/>
      <c r="Q171" s="247"/>
      <c r="R171" s="247"/>
      <c r="S171" s="247"/>
      <c r="T171" s="247"/>
      <c r="U171" s="247"/>
      <c r="V171" s="247"/>
      <c r="W171" s="253"/>
    </row>
    <row r="172" spans="3:23" ht="18.75" customHeight="1" x14ac:dyDescent="0.25">
      <c r="C172" s="88">
        <v>169</v>
      </c>
      <c r="D172" s="130"/>
      <c r="E172" s="131"/>
      <c r="F172" s="132"/>
      <c r="G172" s="133"/>
      <c r="H172" s="134"/>
      <c r="I172" s="134"/>
      <c r="J172" s="135"/>
      <c r="K172" s="134"/>
      <c r="L172" s="134"/>
      <c r="M172" s="136"/>
      <c r="N172" s="248"/>
      <c r="O172" s="249"/>
      <c r="P172" s="249"/>
      <c r="Q172" s="249"/>
      <c r="R172" s="249"/>
      <c r="S172" s="249"/>
      <c r="T172" s="249"/>
      <c r="U172" s="249"/>
      <c r="V172" s="249"/>
      <c r="W172" s="253"/>
    </row>
    <row r="173" spans="3:23" ht="18.75" customHeight="1" x14ac:dyDescent="0.25">
      <c r="C173" s="88">
        <v>170</v>
      </c>
      <c r="D173" s="130"/>
      <c r="E173" s="131"/>
      <c r="F173" s="132"/>
      <c r="G173" s="133"/>
      <c r="H173" s="134"/>
      <c r="I173" s="134"/>
      <c r="J173" s="135"/>
      <c r="K173" s="134"/>
      <c r="L173" s="134"/>
      <c r="M173" s="136"/>
      <c r="N173" s="246"/>
      <c r="O173" s="247"/>
      <c r="P173" s="247"/>
      <c r="Q173" s="247"/>
      <c r="R173" s="247"/>
      <c r="S173" s="247"/>
      <c r="T173" s="247"/>
      <c r="U173" s="247"/>
      <c r="V173" s="247"/>
      <c r="W173" s="253"/>
    </row>
    <row r="174" spans="3:23" ht="18.75" customHeight="1" x14ac:dyDescent="0.25">
      <c r="C174" s="88">
        <v>171</v>
      </c>
      <c r="D174" s="130"/>
      <c r="E174" s="131"/>
      <c r="F174" s="132"/>
      <c r="G174" s="133"/>
      <c r="H174" s="134"/>
      <c r="I174" s="134"/>
      <c r="J174" s="135"/>
      <c r="K174" s="134"/>
      <c r="L174" s="134"/>
      <c r="M174" s="136"/>
      <c r="N174" s="248"/>
      <c r="O174" s="249"/>
      <c r="P174" s="249"/>
      <c r="Q174" s="249"/>
      <c r="R174" s="249"/>
      <c r="S174" s="249"/>
      <c r="T174" s="249"/>
      <c r="U174" s="249"/>
      <c r="V174" s="249"/>
      <c r="W174" s="253"/>
    </row>
    <row r="175" spans="3:23" ht="18.75" customHeight="1" x14ac:dyDescent="0.25">
      <c r="C175" s="88">
        <v>172</v>
      </c>
      <c r="D175" s="130"/>
      <c r="E175" s="131"/>
      <c r="F175" s="132"/>
      <c r="G175" s="133"/>
      <c r="H175" s="134"/>
      <c r="I175" s="134"/>
      <c r="J175" s="135"/>
      <c r="K175" s="134"/>
      <c r="L175" s="134"/>
      <c r="M175" s="136"/>
      <c r="N175" s="246"/>
      <c r="O175" s="247"/>
      <c r="P175" s="247"/>
      <c r="Q175" s="247"/>
      <c r="R175" s="247"/>
      <c r="S175" s="247"/>
      <c r="T175" s="247"/>
      <c r="U175" s="247"/>
      <c r="V175" s="247"/>
      <c r="W175" s="253"/>
    </row>
    <row r="176" spans="3:23" ht="18.75" customHeight="1" x14ac:dyDescent="0.25">
      <c r="C176" s="88">
        <v>173</v>
      </c>
      <c r="D176" s="130"/>
      <c r="E176" s="131"/>
      <c r="F176" s="132"/>
      <c r="G176" s="133"/>
      <c r="H176" s="134"/>
      <c r="I176" s="134"/>
      <c r="J176" s="135"/>
      <c r="K176" s="134"/>
      <c r="L176" s="134"/>
      <c r="M176" s="136"/>
      <c r="N176" s="248"/>
      <c r="O176" s="249"/>
      <c r="P176" s="249"/>
      <c r="Q176" s="249"/>
      <c r="R176" s="249"/>
      <c r="S176" s="249"/>
      <c r="T176" s="249"/>
      <c r="U176" s="249"/>
      <c r="V176" s="249"/>
      <c r="W176" s="253"/>
    </row>
    <row r="177" spans="3:23" ht="18.75" customHeight="1" x14ac:dyDescent="0.25">
      <c r="C177" s="88">
        <v>174</v>
      </c>
      <c r="D177" s="130"/>
      <c r="E177" s="131"/>
      <c r="F177" s="132"/>
      <c r="G177" s="133"/>
      <c r="H177" s="134"/>
      <c r="I177" s="134"/>
      <c r="J177" s="135"/>
      <c r="K177" s="134"/>
      <c r="L177" s="134"/>
      <c r="M177" s="136"/>
      <c r="N177" s="246"/>
      <c r="O177" s="247"/>
      <c r="P177" s="247"/>
      <c r="Q177" s="247"/>
      <c r="R177" s="247"/>
      <c r="S177" s="247"/>
      <c r="T177" s="247"/>
      <c r="U177" s="247"/>
      <c r="V177" s="247"/>
      <c r="W177" s="253"/>
    </row>
    <row r="178" spans="3:23" ht="18.75" customHeight="1" x14ac:dyDescent="0.25">
      <c r="C178" s="88">
        <v>175</v>
      </c>
      <c r="D178" s="130"/>
      <c r="E178" s="131"/>
      <c r="F178" s="132"/>
      <c r="G178" s="133"/>
      <c r="H178" s="134"/>
      <c r="I178" s="134"/>
      <c r="J178" s="135"/>
      <c r="K178" s="134"/>
      <c r="L178" s="134"/>
      <c r="M178" s="136"/>
      <c r="N178" s="248"/>
      <c r="O178" s="249"/>
      <c r="P178" s="249"/>
      <c r="Q178" s="249"/>
      <c r="R178" s="249"/>
      <c r="S178" s="249"/>
      <c r="T178" s="249"/>
      <c r="U178" s="249"/>
      <c r="V178" s="249"/>
      <c r="W178" s="253"/>
    </row>
    <row r="179" spans="3:23" ht="18.75" customHeight="1" x14ac:dyDescent="0.25">
      <c r="C179" s="88">
        <v>176</v>
      </c>
      <c r="D179" s="130"/>
      <c r="E179" s="131"/>
      <c r="F179" s="132"/>
      <c r="G179" s="133"/>
      <c r="H179" s="134"/>
      <c r="I179" s="134"/>
      <c r="J179" s="135"/>
      <c r="K179" s="134"/>
      <c r="L179" s="134"/>
      <c r="M179" s="136"/>
      <c r="N179" s="246"/>
      <c r="O179" s="247"/>
      <c r="P179" s="247"/>
      <c r="Q179" s="247"/>
      <c r="R179" s="247"/>
      <c r="S179" s="247"/>
      <c r="T179" s="247"/>
      <c r="U179" s="247"/>
      <c r="V179" s="247"/>
      <c r="W179" s="253"/>
    </row>
    <row r="180" spans="3:23" ht="18.75" customHeight="1" x14ac:dyDescent="0.25">
      <c r="C180" s="88">
        <v>177</v>
      </c>
      <c r="D180" s="130"/>
      <c r="E180" s="131"/>
      <c r="F180" s="132"/>
      <c r="G180" s="133"/>
      <c r="H180" s="134"/>
      <c r="I180" s="134"/>
      <c r="J180" s="135"/>
      <c r="K180" s="134"/>
      <c r="L180" s="134"/>
      <c r="M180" s="136"/>
      <c r="N180" s="248"/>
      <c r="O180" s="249"/>
      <c r="P180" s="249"/>
      <c r="Q180" s="249"/>
      <c r="R180" s="249"/>
      <c r="S180" s="249"/>
      <c r="T180" s="249"/>
      <c r="U180" s="249"/>
      <c r="V180" s="249"/>
      <c r="W180" s="253"/>
    </row>
    <row r="181" spans="3:23" ht="18.75" customHeight="1" x14ac:dyDescent="0.25">
      <c r="C181" s="88">
        <v>178</v>
      </c>
      <c r="D181" s="130"/>
      <c r="E181" s="131"/>
      <c r="F181" s="132"/>
      <c r="G181" s="133"/>
      <c r="H181" s="134"/>
      <c r="I181" s="134"/>
      <c r="J181" s="135"/>
      <c r="K181" s="134"/>
      <c r="L181" s="134"/>
      <c r="M181" s="136"/>
      <c r="N181" s="246"/>
      <c r="O181" s="247"/>
      <c r="P181" s="247"/>
      <c r="Q181" s="247"/>
      <c r="R181" s="247"/>
      <c r="S181" s="247"/>
      <c r="T181" s="247"/>
      <c r="U181" s="247"/>
      <c r="V181" s="247"/>
      <c r="W181" s="253"/>
    </row>
    <row r="182" spans="3:23" ht="18.75" customHeight="1" x14ac:dyDescent="0.25">
      <c r="C182" s="88">
        <v>179</v>
      </c>
      <c r="D182" s="130"/>
      <c r="E182" s="131"/>
      <c r="F182" s="132"/>
      <c r="G182" s="133"/>
      <c r="H182" s="134"/>
      <c r="I182" s="134"/>
      <c r="J182" s="135"/>
      <c r="K182" s="134"/>
      <c r="L182" s="134"/>
      <c r="M182" s="136"/>
      <c r="N182" s="248"/>
      <c r="O182" s="249"/>
      <c r="P182" s="249"/>
      <c r="Q182" s="249"/>
      <c r="R182" s="249"/>
      <c r="S182" s="249"/>
      <c r="T182" s="249"/>
      <c r="U182" s="249"/>
      <c r="V182" s="249"/>
      <c r="W182" s="253"/>
    </row>
    <row r="183" spans="3:23" ht="18.75" customHeight="1" x14ac:dyDescent="0.25">
      <c r="C183" s="88">
        <v>180</v>
      </c>
      <c r="D183" s="130"/>
      <c r="E183" s="131"/>
      <c r="F183" s="132"/>
      <c r="G183" s="133"/>
      <c r="H183" s="134"/>
      <c r="I183" s="134"/>
      <c r="J183" s="135"/>
      <c r="K183" s="134"/>
      <c r="L183" s="134"/>
      <c r="M183" s="136"/>
      <c r="N183" s="246"/>
      <c r="O183" s="247"/>
      <c r="P183" s="247"/>
      <c r="Q183" s="247"/>
      <c r="R183" s="247"/>
      <c r="S183" s="247"/>
      <c r="T183" s="247"/>
      <c r="U183" s="247"/>
      <c r="V183" s="247"/>
      <c r="W183" s="253"/>
    </row>
    <row r="184" spans="3:23" ht="18.75" customHeight="1" x14ac:dyDescent="0.25">
      <c r="C184" s="88">
        <v>181</v>
      </c>
      <c r="D184" s="130"/>
      <c r="E184" s="131"/>
      <c r="F184" s="132"/>
      <c r="G184" s="133"/>
      <c r="H184" s="134"/>
      <c r="I184" s="134"/>
      <c r="J184" s="135"/>
      <c r="K184" s="134"/>
      <c r="L184" s="134"/>
      <c r="M184" s="136"/>
      <c r="N184" s="248"/>
      <c r="O184" s="249"/>
      <c r="P184" s="249"/>
      <c r="Q184" s="249"/>
      <c r="R184" s="249"/>
      <c r="S184" s="249"/>
      <c r="T184" s="249"/>
      <c r="U184" s="249"/>
      <c r="V184" s="249"/>
      <c r="W184" s="253"/>
    </row>
    <row r="185" spans="3:23" ht="18.75" customHeight="1" x14ac:dyDescent="0.25">
      <c r="C185" s="88">
        <v>182</v>
      </c>
      <c r="D185" s="130"/>
      <c r="E185" s="131"/>
      <c r="F185" s="132"/>
      <c r="G185" s="133"/>
      <c r="H185" s="134"/>
      <c r="I185" s="134"/>
      <c r="J185" s="135"/>
      <c r="K185" s="134"/>
      <c r="L185" s="134"/>
      <c r="M185" s="136"/>
      <c r="N185" s="246"/>
      <c r="O185" s="247"/>
      <c r="P185" s="247"/>
      <c r="Q185" s="247"/>
      <c r="R185" s="247"/>
      <c r="S185" s="247"/>
      <c r="T185" s="247"/>
      <c r="U185" s="247"/>
      <c r="V185" s="247"/>
      <c r="W185" s="253"/>
    </row>
    <row r="186" spans="3:23" ht="18.75" customHeight="1" x14ac:dyDescent="0.25">
      <c r="C186" s="88">
        <v>183</v>
      </c>
      <c r="D186" s="130"/>
      <c r="E186" s="131"/>
      <c r="F186" s="132"/>
      <c r="G186" s="133"/>
      <c r="H186" s="134"/>
      <c r="I186" s="134"/>
      <c r="J186" s="135"/>
      <c r="K186" s="134"/>
      <c r="L186" s="134"/>
      <c r="M186" s="136"/>
      <c r="N186" s="248"/>
      <c r="O186" s="249"/>
      <c r="P186" s="249"/>
      <c r="Q186" s="249"/>
      <c r="R186" s="249"/>
      <c r="S186" s="249"/>
      <c r="T186" s="249"/>
      <c r="U186" s="249"/>
      <c r="V186" s="249"/>
      <c r="W186" s="253"/>
    </row>
    <row r="187" spans="3:23" ht="18.75" customHeight="1" x14ac:dyDescent="0.25">
      <c r="C187" s="88">
        <v>184</v>
      </c>
      <c r="D187" s="130"/>
      <c r="E187" s="131"/>
      <c r="F187" s="132"/>
      <c r="G187" s="133"/>
      <c r="H187" s="134"/>
      <c r="I187" s="134"/>
      <c r="J187" s="135"/>
      <c r="K187" s="134"/>
      <c r="L187" s="134"/>
      <c r="M187" s="136"/>
      <c r="N187" s="246"/>
      <c r="O187" s="247"/>
      <c r="P187" s="247"/>
      <c r="Q187" s="247"/>
      <c r="R187" s="247"/>
      <c r="S187" s="247"/>
      <c r="T187" s="247"/>
      <c r="U187" s="247"/>
      <c r="V187" s="247"/>
      <c r="W187" s="253"/>
    </row>
    <row r="188" spans="3:23" ht="18.75" customHeight="1" x14ac:dyDescent="0.25">
      <c r="C188" s="88">
        <v>185</v>
      </c>
      <c r="D188" s="130"/>
      <c r="E188" s="131"/>
      <c r="F188" s="132"/>
      <c r="G188" s="133"/>
      <c r="H188" s="134"/>
      <c r="I188" s="134"/>
      <c r="J188" s="135"/>
      <c r="K188" s="134"/>
      <c r="L188" s="134"/>
      <c r="M188" s="136"/>
      <c r="N188" s="248"/>
      <c r="O188" s="249"/>
      <c r="P188" s="249"/>
      <c r="Q188" s="249"/>
      <c r="R188" s="249"/>
      <c r="S188" s="249"/>
      <c r="T188" s="249"/>
      <c r="U188" s="249"/>
      <c r="V188" s="249"/>
      <c r="W188" s="253"/>
    </row>
    <row r="189" spans="3:23" ht="18.75" customHeight="1" x14ac:dyDescent="0.25">
      <c r="C189" s="88">
        <v>186</v>
      </c>
      <c r="D189" s="130"/>
      <c r="E189" s="131"/>
      <c r="F189" s="132"/>
      <c r="G189" s="133"/>
      <c r="H189" s="134"/>
      <c r="I189" s="134"/>
      <c r="J189" s="135"/>
      <c r="K189" s="134"/>
      <c r="L189" s="134"/>
      <c r="M189" s="136"/>
      <c r="N189" s="246"/>
      <c r="O189" s="247"/>
      <c r="P189" s="247"/>
      <c r="Q189" s="247"/>
      <c r="R189" s="247"/>
      <c r="S189" s="247"/>
      <c r="T189" s="247"/>
      <c r="U189" s="247"/>
      <c r="V189" s="247"/>
      <c r="W189" s="253"/>
    </row>
    <row r="190" spans="3:23" ht="18.75" customHeight="1" x14ac:dyDescent="0.25">
      <c r="C190" s="88">
        <v>187</v>
      </c>
      <c r="D190" s="130"/>
      <c r="E190" s="131"/>
      <c r="F190" s="132"/>
      <c r="G190" s="133"/>
      <c r="H190" s="134"/>
      <c r="I190" s="134"/>
      <c r="J190" s="135"/>
      <c r="K190" s="134"/>
      <c r="L190" s="134"/>
      <c r="M190" s="136"/>
      <c r="N190" s="248"/>
      <c r="O190" s="249"/>
      <c r="P190" s="249"/>
      <c r="Q190" s="249"/>
      <c r="R190" s="249"/>
      <c r="S190" s="249"/>
      <c r="T190" s="249"/>
      <c r="U190" s="249"/>
      <c r="V190" s="249"/>
      <c r="W190" s="253"/>
    </row>
    <row r="191" spans="3:23" ht="18.75" customHeight="1" x14ac:dyDescent="0.25">
      <c r="C191" s="88">
        <v>188</v>
      </c>
      <c r="D191" s="130"/>
      <c r="E191" s="131"/>
      <c r="F191" s="132"/>
      <c r="G191" s="133"/>
      <c r="H191" s="134"/>
      <c r="I191" s="134"/>
      <c r="J191" s="135"/>
      <c r="K191" s="134"/>
      <c r="L191" s="134"/>
      <c r="M191" s="136"/>
      <c r="N191" s="246"/>
      <c r="O191" s="247"/>
      <c r="P191" s="247"/>
      <c r="Q191" s="247"/>
      <c r="R191" s="247"/>
      <c r="S191" s="247"/>
      <c r="T191" s="247"/>
      <c r="U191" s="247"/>
      <c r="V191" s="247"/>
      <c r="W191" s="253"/>
    </row>
    <row r="192" spans="3:23" ht="18.75" customHeight="1" x14ac:dyDescent="0.25">
      <c r="C192" s="88">
        <v>189</v>
      </c>
      <c r="D192" s="130"/>
      <c r="E192" s="131"/>
      <c r="F192" s="132"/>
      <c r="G192" s="133"/>
      <c r="H192" s="134"/>
      <c r="I192" s="134"/>
      <c r="J192" s="135"/>
      <c r="K192" s="134"/>
      <c r="L192" s="134"/>
      <c r="M192" s="136"/>
      <c r="N192" s="248"/>
      <c r="O192" s="249"/>
      <c r="P192" s="249"/>
      <c r="Q192" s="249"/>
      <c r="R192" s="249"/>
      <c r="S192" s="249"/>
      <c r="T192" s="249"/>
      <c r="U192" s="249"/>
      <c r="V192" s="249"/>
      <c r="W192" s="253"/>
    </row>
    <row r="193" spans="3:23" ht="18.75" customHeight="1" x14ac:dyDescent="0.25">
      <c r="C193" s="88">
        <v>190</v>
      </c>
      <c r="D193" s="130"/>
      <c r="E193" s="131"/>
      <c r="F193" s="132"/>
      <c r="G193" s="133"/>
      <c r="H193" s="134"/>
      <c r="I193" s="134"/>
      <c r="J193" s="135"/>
      <c r="K193" s="134"/>
      <c r="L193" s="134"/>
      <c r="M193" s="136"/>
      <c r="N193" s="246"/>
      <c r="O193" s="247"/>
      <c r="P193" s="247"/>
      <c r="Q193" s="247"/>
      <c r="R193" s="247"/>
      <c r="S193" s="247"/>
      <c r="T193" s="247"/>
      <c r="U193" s="247"/>
      <c r="V193" s="247"/>
      <c r="W193" s="253"/>
    </row>
    <row r="194" spans="3:23" ht="18.75" customHeight="1" x14ac:dyDescent="0.25">
      <c r="C194" s="88">
        <v>191</v>
      </c>
      <c r="D194" s="130"/>
      <c r="E194" s="131"/>
      <c r="F194" s="132"/>
      <c r="G194" s="133"/>
      <c r="H194" s="134"/>
      <c r="I194" s="134"/>
      <c r="J194" s="135"/>
      <c r="K194" s="134"/>
      <c r="L194" s="134"/>
      <c r="M194" s="136"/>
      <c r="N194" s="248"/>
      <c r="O194" s="249"/>
      <c r="P194" s="249"/>
      <c r="Q194" s="249"/>
      <c r="R194" s="249"/>
      <c r="S194" s="249"/>
      <c r="T194" s="249"/>
      <c r="U194" s="249"/>
      <c r="V194" s="249"/>
      <c r="W194" s="253"/>
    </row>
    <row r="195" spans="3:23" ht="18.75" customHeight="1" x14ac:dyDescent="0.25">
      <c r="C195" s="88">
        <v>192</v>
      </c>
      <c r="D195" s="130"/>
      <c r="E195" s="131"/>
      <c r="F195" s="132"/>
      <c r="G195" s="133"/>
      <c r="H195" s="134"/>
      <c r="I195" s="134"/>
      <c r="J195" s="135"/>
      <c r="K195" s="134"/>
      <c r="L195" s="134"/>
      <c r="M195" s="136"/>
      <c r="N195" s="246"/>
      <c r="O195" s="247"/>
      <c r="P195" s="247"/>
      <c r="Q195" s="247"/>
      <c r="R195" s="247"/>
      <c r="S195" s="247"/>
      <c r="T195" s="247"/>
      <c r="U195" s="247"/>
      <c r="V195" s="247"/>
      <c r="W195" s="253"/>
    </row>
    <row r="196" spans="3:23" ht="18.75" customHeight="1" x14ac:dyDescent="0.25">
      <c r="C196" s="88">
        <v>193</v>
      </c>
      <c r="D196" s="130"/>
      <c r="E196" s="131"/>
      <c r="F196" s="132"/>
      <c r="G196" s="133"/>
      <c r="H196" s="134"/>
      <c r="I196" s="134"/>
      <c r="J196" s="135"/>
      <c r="K196" s="134"/>
      <c r="L196" s="134"/>
      <c r="M196" s="136"/>
      <c r="N196" s="248"/>
      <c r="O196" s="249"/>
      <c r="P196" s="249"/>
      <c r="Q196" s="249"/>
      <c r="R196" s="249"/>
      <c r="S196" s="249"/>
      <c r="T196" s="249"/>
      <c r="U196" s="249"/>
      <c r="V196" s="249"/>
      <c r="W196" s="253"/>
    </row>
    <row r="197" spans="3:23" ht="18.75" customHeight="1" x14ac:dyDescent="0.25">
      <c r="C197" s="88">
        <v>194</v>
      </c>
      <c r="D197" s="130"/>
      <c r="E197" s="131"/>
      <c r="F197" s="132"/>
      <c r="G197" s="133"/>
      <c r="H197" s="134"/>
      <c r="I197" s="134"/>
      <c r="J197" s="135"/>
      <c r="K197" s="134"/>
      <c r="L197" s="134"/>
      <c r="M197" s="136"/>
      <c r="N197" s="246"/>
      <c r="O197" s="247"/>
      <c r="P197" s="247"/>
      <c r="Q197" s="247"/>
      <c r="R197" s="247"/>
      <c r="S197" s="247"/>
      <c r="T197" s="247"/>
      <c r="U197" s="247"/>
      <c r="V197" s="247"/>
      <c r="W197" s="253"/>
    </row>
    <row r="198" spans="3:23" ht="18.75" customHeight="1" x14ac:dyDescent="0.25">
      <c r="C198" s="88">
        <v>195</v>
      </c>
      <c r="D198" s="130"/>
      <c r="E198" s="131"/>
      <c r="F198" s="132"/>
      <c r="G198" s="133"/>
      <c r="H198" s="134"/>
      <c r="I198" s="134"/>
      <c r="J198" s="135"/>
      <c r="K198" s="134"/>
      <c r="L198" s="134"/>
      <c r="M198" s="136"/>
      <c r="N198" s="248"/>
      <c r="O198" s="249"/>
      <c r="P198" s="249"/>
      <c r="Q198" s="249"/>
      <c r="R198" s="249"/>
      <c r="S198" s="249"/>
      <c r="T198" s="249"/>
      <c r="U198" s="249"/>
      <c r="V198" s="249"/>
      <c r="W198" s="253"/>
    </row>
    <row r="199" spans="3:23" ht="18.75" customHeight="1" x14ac:dyDescent="0.25">
      <c r="C199" s="88">
        <v>196</v>
      </c>
      <c r="D199" s="130"/>
      <c r="E199" s="131"/>
      <c r="F199" s="132"/>
      <c r="G199" s="133"/>
      <c r="H199" s="134"/>
      <c r="I199" s="134"/>
      <c r="J199" s="135"/>
      <c r="K199" s="134"/>
      <c r="L199" s="134"/>
      <c r="M199" s="136"/>
      <c r="N199" s="246"/>
      <c r="O199" s="247"/>
      <c r="P199" s="247"/>
      <c r="Q199" s="247"/>
      <c r="R199" s="247"/>
      <c r="S199" s="247"/>
      <c r="T199" s="247"/>
      <c r="U199" s="247"/>
      <c r="V199" s="247"/>
      <c r="W199" s="253"/>
    </row>
    <row r="200" spans="3:23" ht="18.75" customHeight="1" x14ac:dyDescent="0.25">
      <c r="C200" s="88">
        <v>197</v>
      </c>
      <c r="D200" s="130"/>
      <c r="E200" s="131"/>
      <c r="F200" s="132"/>
      <c r="G200" s="133"/>
      <c r="H200" s="134"/>
      <c r="I200" s="134"/>
      <c r="J200" s="135"/>
      <c r="K200" s="134"/>
      <c r="L200" s="134"/>
      <c r="M200" s="136"/>
      <c r="N200" s="248"/>
      <c r="O200" s="249"/>
      <c r="P200" s="249"/>
      <c r="Q200" s="249"/>
      <c r="R200" s="249"/>
      <c r="S200" s="249"/>
      <c r="T200" s="249"/>
      <c r="U200" s="249"/>
      <c r="V200" s="249"/>
      <c r="W200" s="253"/>
    </row>
    <row r="201" spans="3:23" ht="18.75" customHeight="1" x14ac:dyDescent="0.25">
      <c r="C201" s="88">
        <v>198</v>
      </c>
      <c r="D201" s="130"/>
      <c r="E201" s="131"/>
      <c r="F201" s="132"/>
      <c r="G201" s="133"/>
      <c r="H201" s="134"/>
      <c r="I201" s="134"/>
      <c r="J201" s="135"/>
      <c r="K201" s="134"/>
      <c r="L201" s="134"/>
      <c r="M201" s="136"/>
      <c r="N201" s="246"/>
      <c r="O201" s="247"/>
      <c r="P201" s="247"/>
      <c r="Q201" s="247"/>
      <c r="R201" s="247"/>
      <c r="S201" s="247"/>
      <c r="T201" s="247"/>
      <c r="U201" s="247"/>
      <c r="V201" s="247"/>
      <c r="W201" s="253"/>
    </row>
    <row r="202" spans="3:23" ht="18.75" customHeight="1" x14ac:dyDescent="0.25">
      <c r="C202" s="88">
        <v>199</v>
      </c>
      <c r="D202" s="130"/>
      <c r="E202" s="131"/>
      <c r="F202" s="132"/>
      <c r="G202" s="133"/>
      <c r="H202" s="134"/>
      <c r="I202" s="134"/>
      <c r="J202" s="135"/>
      <c r="K202" s="134"/>
      <c r="L202" s="134"/>
      <c r="M202" s="136"/>
      <c r="N202" s="248"/>
      <c r="O202" s="249"/>
      <c r="P202" s="249"/>
      <c r="Q202" s="249"/>
      <c r="R202" s="249"/>
      <c r="S202" s="249"/>
      <c r="T202" s="249"/>
      <c r="U202" s="249"/>
      <c r="V202" s="249"/>
      <c r="W202" s="253"/>
    </row>
    <row r="203" spans="3:23" ht="18.75" customHeight="1" x14ac:dyDescent="0.25">
      <c r="C203" s="88">
        <v>200</v>
      </c>
      <c r="D203" s="130"/>
      <c r="E203" s="131"/>
      <c r="F203" s="132"/>
      <c r="G203" s="133"/>
      <c r="H203" s="134"/>
      <c r="I203" s="134"/>
      <c r="J203" s="135"/>
      <c r="K203" s="134"/>
      <c r="L203" s="134"/>
      <c r="M203" s="136"/>
      <c r="N203" s="246"/>
      <c r="O203" s="247"/>
      <c r="P203" s="247"/>
      <c r="Q203" s="247"/>
      <c r="R203" s="247"/>
      <c r="S203" s="247"/>
      <c r="T203" s="247"/>
      <c r="U203" s="247"/>
      <c r="V203" s="247"/>
      <c r="W203" s="253"/>
    </row>
    <row r="204" spans="3:23" ht="18.75" customHeight="1" x14ac:dyDescent="0.25">
      <c r="C204" s="88">
        <v>201</v>
      </c>
      <c r="D204" s="130"/>
      <c r="E204" s="131"/>
      <c r="F204" s="132"/>
      <c r="G204" s="133"/>
      <c r="H204" s="134"/>
      <c r="I204" s="134"/>
      <c r="J204" s="135"/>
      <c r="K204" s="134"/>
      <c r="L204" s="134"/>
      <c r="M204" s="136"/>
      <c r="N204" s="248"/>
      <c r="O204" s="249"/>
      <c r="P204" s="249"/>
      <c r="Q204" s="249"/>
      <c r="R204" s="249"/>
      <c r="S204" s="249"/>
      <c r="T204" s="249"/>
      <c r="U204" s="249"/>
      <c r="V204" s="249"/>
      <c r="W204" s="253"/>
    </row>
    <row r="205" spans="3:23" ht="15.75" customHeight="1" x14ac:dyDescent="0.25">
      <c r="C205" s="255" t="s">
        <v>88</v>
      </c>
      <c r="D205" s="255"/>
      <c r="E205" s="255"/>
      <c r="F205" s="255"/>
      <c r="G205" s="255"/>
      <c r="H205" s="255"/>
      <c r="I205" s="255"/>
      <c r="J205" s="255"/>
      <c r="K205" s="255"/>
      <c r="L205" s="255"/>
      <c r="M205" s="255"/>
      <c r="N205" s="255"/>
      <c r="O205" s="255"/>
      <c r="P205" s="255"/>
      <c r="Q205" s="255"/>
      <c r="R205" s="255"/>
      <c r="S205" s="255"/>
      <c r="T205" s="255"/>
      <c r="U205" s="255"/>
      <c r="V205" s="255"/>
      <c r="W205" s="255"/>
    </row>
    <row r="206" spans="3:23" ht="15.75" customHeight="1" x14ac:dyDescent="0.25">
      <c r="C206" s="255"/>
      <c r="D206" s="255"/>
      <c r="E206" s="255"/>
      <c r="F206" s="255"/>
      <c r="G206" s="255"/>
      <c r="H206" s="255"/>
      <c r="I206" s="255"/>
      <c r="J206" s="255"/>
      <c r="K206" s="255"/>
      <c r="L206" s="255"/>
      <c r="M206" s="255"/>
      <c r="N206" s="255"/>
      <c r="O206" s="255"/>
      <c r="P206" s="255"/>
      <c r="Q206" s="255"/>
      <c r="R206" s="255"/>
      <c r="S206" s="255"/>
      <c r="T206" s="255"/>
      <c r="U206" s="255"/>
      <c r="V206" s="255"/>
      <c r="W206" s="255"/>
    </row>
    <row r="207" spans="3:23" x14ac:dyDescent="0.3">
      <c r="C207" s="140"/>
      <c r="D207" s="1"/>
      <c r="E207" s="69"/>
      <c r="F207" s="69"/>
      <c r="G207" s="4"/>
      <c r="H207" s="2"/>
      <c r="I207" s="2"/>
      <c r="J207" s="38"/>
      <c r="K207" s="2"/>
      <c r="L207" s="2"/>
      <c r="M207" s="2"/>
    </row>
    <row r="208" spans="3:23" x14ac:dyDescent="0.3">
      <c r="C208" s="140"/>
      <c r="D208" s="1"/>
      <c r="E208" s="69"/>
      <c r="F208" s="69"/>
      <c r="G208" s="4"/>
      <c r="H208" s="2"/>
      <c r="I208" s="2"/>
      <c r="J208" s="38"/>
      <c r="K208" s="2"/>
      <c r="L208" s="2"/>
      <c r="M208" s="2"/>
    </row>
    <row r="209" spans="3:13" x14ac:dyDescent="0.3">
      <c r="C209" s="140"/>
      <c r="D209" s="1"/>
      <c r="E209" s="69"/>
      <c r="F209" s="69"/>
      <c r="G209" s="4"/>
      <c r="H209" s="2"/>
      <c r="I209" s="2"/>
      <c r="J209" s="38"/>
      <c r="K209" s="2"/>
      <c r="L209" s="2"/>
      <c r="M209" s="2"/>
    </row>
    <row r="210" spans="3:13" x14ac:dyDescent="0.3">
      <c r="C210" s="140"/>
      <c r="D210" s="1"/>
      <c r="E210" s="69"/>
      <c r="F210" s="69"/>
      <c r="G210" s="4"/>
      <c r="H210" s="2"/>
      <c r="I210" s="2"/>
      <c r="J210" s="38"/>
      <c r="K210" s="2"/>
      <c r="L210" s="2"/>
      <c r="M210" s="2"/>
    </row>
    <row r="211" spans="3:13" x14ac:dyDescent="0.3">
      <c r="C211" s="140"/>
      <c r="D211" s="1"/>
      <c r="E211" s="69"/>
      <c r="F211" s="69"/>
      <c r="G211" s="4"/>
      <c r="H211" s="2"/>
      <c r="I211" s="2"/>
      <c r="J211" s="38"/>
      <c r="K211" s="2"/>
      <c r="L211" s="2"/>
      <c r="M211" s="2"/>
    </row>
    <row r="212" spans="3:13" x14ac:dyDescent="0.3">
      <c r="C212" s="140"/>
      <c r="D212" s="1"/>
      <c r="E212" s="69"/>
      <c r="F212" s="69"/>
      <c r="G212" s="4"/>
      <c r="H212" s="2"/>
      <c r="I212" s="2"/>
      <c r="J212" s="38"/>
      <c r="K212" s="2"/>
      <c r="L212" s="2"/>
      <c r="M212" s="2"/>
    </row>
    <row r="213" spans="3:13" x14ac:dyDescent="0.3">
      <c r="C213" s="140"/>
      <c r="D213" s="1"/>
      <c r="E213" s="69"/>
      <c r="F213" s="69"/>
      <c r="G213" s="4"/>
      <c r="H213" s="2"/>
      <c r="I213" s="2"/>
      <c r="J213" s="38"/>
      <c r="K213" s="2"/>
      <c r="L213" s="2"/>
      <c r="M213" s="2"/>
    </row>
    <row r="214" spans="3:13" x14ac:dyDescent="0.3">
      <c r="C214" s="140"/>
      <c r="D214" s="1"/>
      <c r="E214" s="69"/>
      <c r="F214" s="69"/>
      <c r="G214" s="4"/>
      <c r="H214" s="2"/>
      <c r="I214" s="2"/>
      <c r="J214" s="38"/>
      <c r="K214" s="2"/>
      <c r="L214" s="2"/>
      <c r="M214" s="2"/>
    </row>
    <row r="215" spans="3:13" x14ac:dyDescent="0.3">
      <c r="C215" s="140"/>
      <c r="D215" s="1"/>
      <c r="E215" s="69"/>
      <c r="F215" s="69"/>
      <c r="G215" s="4"/>
      <c r="H215" s="2"/>
      <c r="I215" s="2"/>
      <c r="J215" s="38"/>
      <c r="K215" s="2"/>
      <c r="L215" s="2"/>
      <c r="M215" s="2"/>
    </row>
    <row r="216" spans="3:13" x14ac:dyDescent="0.3">
      <c r="C216" s="140"/>
      <c r="D216" s="1"/>
      <c r="E216" s="69"/>
      <c r="F216" s="69"/>
      <c r="G216" s="4"/>
      <c r="H216" s="2"/>
      <c r="I216" s="2"/>
      <c r="J216" s="38"/>
      <c r="K216" s="2"/>
      <c r="L216" s="2"/>
      <c r="M216" s="2"/>
    </row>
    <row r="217" spans="3:13" x14ac:dyDescent="0.3">
      <c r="C217" s="140"/>
      <c r="D217" s="1"/>
      <c r="E217" s="69"/>
      <c r="F217" s="69"/>
      <c r="G217" s="4"/>
      <c r="H217" s="2"/>
      <c r="I217" s="2"/>
      <c r="J217" s="38"/>
      <c r="K217" s="2"/>
      <c r="L217" s="2"/>
      <c r="M217" s="2"/>
    </row>
    <row r="218" spans="3:13" x14ac:dyDescent="0.3">
      <c r="C218" s="140"/>
      <c r="D218" s="1"/>
      <c r="E218" s="69"/>
      <c r="F218" s="69"/>
      <c r="G218" s="4"/>
      <c r="H218" s="2"/>
      <c r="I218" s="2"/>
      <c r="J218" s="38"/>
      <c r="K218" s="2"/>
      <c r="L218" s="2"/>
      <c r="M218" s="2"/>
    </row>
    <row r="219" spans="3:13" x14ac:dyDescent="0.3">
      <c r="C219" s="140"/>
      <c r="D219" s="1"/>
      <c r="E219" s="69"/>
      <c r="F219" s="69"/>
      <c r="G219" s="4"/>
      <c r="H219" s="2"/>
      <c r="I219" s="2"/>
      <c r="J219" s="38"/>
      <c r="K219" s="2"/>
      <c r="L219" s="2"/>
      <c r="M219" s="2"/>
    </row>
    <row r="220" spans="3:13" x14ac:dyDescent="0.3">
      <c r="C220" s="140"/>
      <c r="D220" s="1"/>
      <c r="E220" s="69"/>
      <c r="F220" s="69"/>
      <c r="G220" s="4"/>
      <c r="H220" s="2"/>
      <c r="I220" s="2"/>
      <c r="J220" s="38"/>
      <c r="K220" s="2"/>
      <c r="L220" s="2"/>
      <c r="M220" s="2"/>
    </row>
    <row r="221" spans="3:13" x14ac:dyDescent="0.3">
      <c r="C221" s="140"/>
      <c r="D221" s="1"/>
      <c r="E221" s="69"/>
      <c r="F221" s="69"/>
      <c r="G221" s="4"/>
      <c r="H221" s="2"/>
      <c r="I221" s="2"/>
      <c r="J221" s="38"/>
      <c r="K221" s="2"/>
      <c r="L221" s="2"/>
      <c r="M221" s="2"/>
    </row>
    <row r="222" spans="3:13" x14ac:dyDescent="0.3">
      <c r="C222" s="140"/>
      <c r="D222" s="1"/>
      <c r="E222" s="69"/>
      <c r="F222" s="69"/>
      <c r="G222" s="4"/>
      <c r="H222" s="2"/>
      <c r="I222" s="2"/>
      <c r="J222" s="38"/>
      <c r="K222" s="2"/>
      <c r="L222" s="2"/>
      <c r="M222" s="2"/>
    </row>
    <row r="223" spans="3:13" x14ac:dyDescent="0.3">
      <c r="C223" s="140"/>
      <c r="D223" s="1"/>
      <c r="E223" s="69"/>
      <c r="F223" s="69"/>
      <c r="G223" s="4"/>
      <c r="H223" s="2"/>
      <c r="I223" s="2"/>
      <c r="J223" s="38"/>
      <c r="K223" s="2"/>
      <c r="L223" s="2"/>
      <c r="M223" s="2"/>
    </row>
    <row r="224" spans="3:13" x14ac:dyDescent="0.3">
      <c r="C224" s="140"/>
      <c r="D224" s="1"/>
      <c r="E224" s="69"/>
      <c r="F224" s="69"/>
      <c r="G224" s="4"/>
      <c r="H224" s="2"/>
      <c r="I224" s="2"/>
      <c r="J224" s="38"/>
      <c r="K224" s="2"/>
      <c r="L224" s="2"/>
      <c r="M224" s="2"/>
    </row>
    <row r="225" spans="3:13" x14ac:dyDescent="0.3">
      <c r="C225" s="140"/>
      <c r="D225" s="1"/>
      <c r="E225" s="69"/>
      <c r="F225" s="69"/>
      <c r="G225" s="4"/>
      <c r="H225" s="2"/>
      <c r="I225" s="2"/>
      <c r="J225" s="38"/>
      <c r="K225" s="2"/>
      <c r="L225" s="2"/>
      <c r="M225" s="2"/>
    </row>
    <row r="226" spans="3:13" x14ac:dyDescent="0.3">
      <c r="C226" s="140"/>
      <c r="D226" s="1"/>
      <c r="E226" s="69"/>
      <c r="F226" s="69"/>
      <c r="G226" s="4"/>
      <c r="H226" s="2"/>
      <c r="I226" s="2"/>
      <c r="J226" s="38"/>
      <c r="K226" s="2"/>
      <c r="L226" s="2"/>
      <c r="M226" s="2"/>
    </row>
    <row r="227" spans="3:13" x14ac:dyDescent="0.3">
      <c r="C227" s="140"/>
      <c r="D227" s="1"/>
      <c r="E227" s="69"/>
      <c r="F227" s="69"/>
      <c r="G227" s="4"/>
      <c r="H227" s="2"/>
      <c r="I227" s="2"/>
      <c r="J227" s="38"/>
      <c r="K227" s="2"/>
      <c r="L227" s="2"/>
      <c r="M227" s="2"/>
    </row>
    <row r="228" spans="3:13" x14ac:dyDescent="0.3">
      <c r="C228" s="140"/>
      <c r="D228" s="1"/>
      <c r="E228" s="69"/>
      <c r="F228" s="69"/>
      <c r="G228" s="4"/>
      <c r="H228" s="2"/>
      <c r="I228" s="2"/>
      <c r="J228" s="38"/>
      <c r="K228" s="2"/>
      <c r="L228" s="2"/>
      <c r="M228" s="2"/>
    </row>
    <row r="229" spans="3:13" x14ac:dyDescent="0.3">
      <c r="C229" s="140"/>
      <c r="D229" s="1"/>
      <c r="E229" s="69"/>
      <c r="F229" s="69"/>
      <c r="G229" s="4"/>
      <c r="H229" s="2"/>
      <c r="I229" s="2"/>
      <c r="J229" s="38"/>
      <c r="K229" s="2"/>
      <c r="L229" s="2"/>
      <c r="M229" s="2"/>
    </row>
    <row r="230" spans="3:13" x14ac:dyDescent="0.3">
      <c r="C230" s="140"/>
      <c r="D230" s="1"/>
      <c r="E230" s="69"/>
      <c r="F230" s="69"/>
      <c r="G230" s="4"/>
      <c r="H230" s="2"/>
      <c r="I230" s="2"/>
      <c r="J230" s="38"/>
      <c r="K230" s="2"/>
      <c r="L230" s="2"/>
      <c r="M230" s="2"/>
    </row>
    <row r="231" spans="3:13" x14ac:dyDescent="0.3">
      <c r="C231" s="140"/>
      <c r="D231" s="1"/>
      <c r="E231" s="69"/>
      <c r="F231" s="69"/>
      <c r="G231" s="4"/>
      <c r="H231" s="2"/>
      <c r="I231" s="2"/>
      <c r="J231" s="38"/>
      <c r="K231" s="2"/>
      <c r="L231" s="2"/>
      <c r="M231" s="2"/>
    </row>
    <row r="232" spans="3:13" x14ac:dyDescent="0.3">
      <c r="C232" s="140"/>
      <c r="D232" s="1"/>
      <c r="E232" s="69"/>
      <c r="F232" s="69"/>
      <c r="G232" s="4"/>
      <c r="H232" s="2"/>
      <c r="I232" s="2"/>
      <c r="J232" s="38"/>
      <c r="K232" s="2"/>
      <c r="L232" s="2"/>
      <c r="M232" s="2"/>
    </row>
    <row r="233" spans="3:13" x14ac:dyDescent="0.3">
      <c r="C233" s="140"/>
      <c r="D233" s="1"/>
      <c r="E233" s="69"/>
      <c r="F233" s="69"/>
      <c r="G233" s="4"/>
      <c r="H233" s="2"/>
      <c r="I233" s="2"/>
      <c r="J233" s="38"/>
      <c r="K233" s="2"/>
      <c r="L233" s="2"/>
      <c r="M233" s="2"/>
    </row>
    <row r="234" spans="3:13" x14ac:dyDescent="0.3">
      <c r="C234" s="140"/>
      <c r="D234" s="1"/>
      <c r="E234" s="69"/>
      <c r="F234" s="69"/>
      <c r="G234" s="4"/>
      <c r="H234" s="2"/>
      <c r="I234" s="2"/>
      <c r="J234" s="38"/>
      <c r="K234" s="2"/>
      <c r="L234" s="2"/>
      <c r="M234" s="2"/>
    </row>
    <row r="235" spans="3:13" x14ac:dyDescent="0.3">
      <c r="C235" s="140"/>
      <c r="D235" s="1"/>
      <c r="E235" s="69"/>
      <c r="F235" s="69"/>
      <c r="G235" s="4"/>
      <c r="H235" s="2"/>
      <c r="I235" s="2"/>
      <c r="J235" s="38"/>
      <c r="K235" s="2"/>
      <c r="L235" s="2"/>
      <c r="M235" s="2"/>
    </row>
    <row r="236" spans="3:13" x14ac:dyDescent="0.3">
      <c r="C236" s="140"/>
      <c r="D236" s="1"/>
      <c r="E236" s="69"/>
      <c r="F236" s="69"/>
      <c r="G236" s="4"/>
      <c r="H236" s="2"/>
      <c r="I236" s="2"/>
      <c r="J236" s="38"/>
      <c r="K236" s="2"/>
      <c r="L236" s="2"/>
      <c r="M236" s="2"/>
    </row>
    <row r="237" spans="3:13" x14ac:dyDescent="0.3">
      <c r="C237" s="140"/>
      <c r="D237" s="1"/>
      <c r="E237" s="69"/>
      <c r="F237" s="69"/>
      <c r="G237" s="4"/>
      <c r="H237" s="2"/>
      <c r="I237" s="2"/>
      <c r="J237" s="38"/>
      <c r="K237" s="2"/>
      <c r="L237" s="2"/>
      <c r="M237" s="2"/>
    </row>
    <row r="238" spans="3:13" x14ac:dyDescent="0.3">
      <c r="C238" s="140"/>
      <c r="D238" s="1"/>
      <c r="E238" s="69"/>
      <c r="F238" s="69"/>
      <c r="G238" s="4"/>
      <c r="H238" s="2"/>
      <c r="I238" s="2"/>
      <c r="J238" s="38"/>
      <c r="K238" s="2"/>
      <c r="L238" s="2"/>
      <c r="M238" s="2"/>
    </row>
    <row r="239" spans="3:13" x14ac:dyDescent="0.3">
      <c r="C239" s="140"/>
      <c r="D239" s="1"/>
      <c r="E239" s="69"/>
      <c r="F239" s="69"/>
      <c r="G239" s="4"/>
      <c r="H239" s="2"/>
      <c r="I239" s="2"/>
      <c r="J239" s="38"/>
      <c r="K239" s="2"/>
      <c r="L239" s="2"/>
      <c r="M239" s="2"/>
    </row>
    <row r="240" spans="3:13" x14ac:dyDescent="0.3">
      <c r="C240" s="140"/>
      <c r="D240" s="1"/>
      <c r="E240" s="69"/>
      <c r="F240" s="69"/>
      <c r="G240" s="4"/>
      <c r="H240" s="2"/>
      <c r="I240" s="2"/>
      <c r="J240" s="38"/>
      <c r="K240" s="2"/>
      <c r="L240" s="2"/>
      <c r="M240" s="2"/>
    </row>
    <row r="241" spans="3:13" x14ac:dyDescent="0.3">
      <c r="C241" s="140"/>
      <c r="D241" s="1"/>
      <c r="E241" s="69"/>
      <c r="F241" s="69"/>
      <c r="G241" s="4"/>
      <c r="H241" s="2"/>
      <c r="I241" s="2"/>
      <c r="J241" s="38"/>
      <c r="K241" s="2"/>
      <c r="L241" s="2"/>
      <c r="M241" s="2"/>
    </row>
    <row r="242" spans="3:13" x14ac:dyDescent="0.3">
      <c r="C242" s="140"/>
      <c r="D242" s="1"/>
      <c r="E242" s="69"/>
      <c r="F242" s="69"/>
      <c r="G242" s="4"/>
      <c r="H242" s="2"/>
      <c r="I242" s="2"/>
      <c r="J242" s="38"/>
      <c r="K242" s="2"/>
      <c r="L242" s="2"/>
      <c r="M242" s="2"/>
    </row>
    <row r="243" spans="3:13" x14ac:dyDescent="0.3">
      <c r="C243" s="140"/>
      <c r="D243" s="1"/>
      <c r="E243" s="69"/>
      <c r="F243" s="69"/>
      <c r="G243" s="4"/>
      <c r="H243" s="2"/>
      <c r="I243" s="2"/>
      <c r="J243" s="38"/>
      <c r="K243" s="2"/>
      <c r="L243" s="2"/>
      <c r="M243" s="2"/>
    </row>
    <row r="244" spans="3:13" x14ac:dyDescent="0.3">
      <c r="C244" s="140"/>
      <c r="D244" s="1"/>
      <c r="E244" s="69"/>
      <c r="F244" s="69"/>
      <c r="G244" s="4"/>
      <c r="H244" s="2"/>
      <c r="I244" s="2"/>
      <c r="J244" s="38"/>
      <c r="K244" s="2"/>
      <c r="L244" s="2"/>
      <c r="M244" s="2"/>
    </row>
    <row r="245" spans="3:13" x14ac:dyDescent="0.3">
      <c r="C245" s="140"/>
      <c r="D245" s="1"/>
      <c r="E245" s="69"/>
      <c r="F245" s="69"/>
      <c r="G245" s="4"/>
      <c r="H245" s="2"/>
      <c r="I245" s="2"/>
      <c r="J245" s="38"/>
      <c r="K245" s="2"/>
      <c r="L245" s="2"/>
      <c r="M245" s="2"/>
    </row>
    <row r="246" spans="3:13" x14ac:dyDescent="0.3">
      <c r="C246" s="140"/>
      <c r="D246" s="1"/>
      <c r="E246" s="69"/>
      <c r="F246" s="69"/>
      <c r="G246" s="4"/>
      <c r="H246" s="2"/>
      <c r="I246" s="2"/>
      <c r="J246" s="38"/>
      <c r="K246" s="2"/>
      <c r="L246" s="2"/>
      <c r="M246" s="2"/>
    </row>
    <row r="247" spans="3:13" x14ac:dyDescent="0.3">
      <c r="C247" s="140"/>
      <c r="D247" s="1"/>
      <c r="E247" s="69"/>
      <c r="F247" s="69"/>
      <c r="G247" s="4"/>
      <c r="H247" s="2"/>
      <c r="I247" s="2"/>
      <c r="J247" s="38"/>
      <c r="K247" s="2"/>
      <c r="L247" s="2"/>
      <c r="M247" s="2"/>
    </row>
    <row r="248" spans="3:13" x14ac:dyDescent="0.3">
      <c r="C248" s="140"/>
      <c r="D248" s="1"/>
      <c r="E248" s="69"/>
      <c r="F248" s="69"/>
      <c r="G248" s="4"/>
      <c r="H248" s="2"/>
      <c r="I248" s="2"/>
      <c r="J248" s="38"/>
      <c r="K248" s="2"/>
      <c r="L248" s="2"/>
      <c r="M248" s="2"/>
    </row>
    <row r="249" spans="3:13" x14ac:dyDescent="0.3">
      <c r="C249" s="140"/>
      <c r="D249" s="1"/>
      <c r="E249" s="69"/>
      <c r="F249" s="69"/>
      <c r="G249" s="4"/>
      <c r="H249" s="2"/>
      <c r="I249" s="2"/>
      <c r="J249" s="38"/>
      <c r="K249" s="2"/>
      <c r="L249" s="2"/>
      <c r="M249" s="2"/>
    </row>
    <row r="250" spans="3:13" x14ac:dyDescent="0.3">
      <c r="C250" s="140"/>
      <c r="D250" s="1"/>
      <c r="E250" s="69"/>
      <c r="F250" s="69"/>
      <c r="G250" s="4"/>
      <c r="H250" s="2"/>
      <c r="I250" s="2"/>
      <c r="J250" s="38"/>
      <c r="K250" s="2"/>
      <c r="L250" s="2"/>
      <c r="M250" s="2"/>
    </row>
    <row r="251" spans="3:13" x14ac:dyDescent="0.3">
      <c r="C251" s="140"/>
      <c r="D251" s="1"/>
      <c r="E251" s="69"/>
      <c r="F251" s="69"/>
      <c r="G251" s="4"/>
      <c r="H251" s="2"/>
      <c r="I251" s="2"/>
      <c r="J251" s="38"/>
      <c r="K251" s="2"/>
      <c r="L251" s="2"/>
      <c r="M251" s="2"/>
    </row>
    <row r="252" spans="3:13" x14ac:dyDescent="0.3">
      <c r="C252" s="140"/>
      <c r="D252" s="1"/>
      <c r="E252" s="69"/>
      <c r="F252" s="69"/>
      <c r="G252" s="4"/>
      <c r="H252" s="2"/>
      <c r="I252" s="2"/>
      <c r="J252" s="38"/>
      <c r="K252" s="2"/>
      <c r="L252" s="2"/>
      <c r="M252" s="2"/>
    </row>
    <row r="253" spans="3:13" x14ac:dyDescent="0.3">
      <c r="C253" s="140"/>
      <c r="D253" s="1"/>
      <c r="E253" s="69"/>
      <c r="F253" s="69"/>
      <c r="G253" s="4"/>
      <c r="H253" s="2"/>
      <c r="I253" s="2"/>
      <c r="J253" s="38"/>
      <c r="K253" s="2"/>
      <c r="L253" s="2"/>
      <c r="M253" s="2"/>
    </row>
    <row r="254" spans="3:13" x14ac:dyDescent="0.3">
      <c r="C254" s="140"/>
      <c r="D254" s="1"/>
      <c r="E254" s="69"/>
      <c r="F254" s="69"/>
      <c r="G254" s="4"/>
      <c r="H254" s="2"/>
      <c r="I254" s="2"/>
      <c r="J254" s="38"/>
      <c r="K254" s="2"/>
      <c r="L254" s="2"/>
      <c r="M254" s="2"/>
    </row>
    <row r="255" spans="3:13" x14ac:dyDescent="0.3">
      <c r="C255" s="140"/>
      <c r="D255" s="1"/>
      <c r="E255" s="69"/>
      <c r="F255" s="69"/>
      <c r="G255" s="4"/>
      <c r="H255" s="2"/>
      <c r="I255" s="2"/>
      <c r="J255" s="38"/>
      <c r="K255" s="2"/>
      <c r="L255" s="2"/>
      <c r="M255" s="2"/>
    </row>
    <row r="256" spans="3:13" x14ac:dyDescent="0.3">
      <c r="C256" s="140"/>
      <c r="D256" s="1"/>
      <c r="E256" s="69"/>
      <c r="F256" s="69"/>
      <c r="G256" s="4"/>
      <c r="H256" s="2"/>
      <c r="I256" s="2"/>
      <c r="J256" s="38"/>
      <c r="K256" s="2"/>
      <c r="L256" s="2"/>
      <c r="M256" s="2"/>
    </row>
    <row r="257" spans="3:13" x14ac:dyDescent="0.3">
      <c r="C257" s="140"/>
      <c r="D257" s="1"/>
      <c r="E257" s="69"/>
      <c r="F257" s="69"/>
      <c r="G257" s="4"/>
      <c r="H257" s="2"/>
      <c r="I257" s="2"/>
      <c r="J257" s="38"/>
      <c r="K257" s="2"/>
      <c r="L257" s="2"/>
      <c r="M257" s="2"/>
    </row>
    <row r="258" spans="3:13" x14ac:dyDescent="0.3">
      <c r="C258" s="140"/>
      <c r="D258" s="1"/>
      <c r="E258" s="69"/>
      <c r="F258" s="69"/>
      <c r="G258" s="4"/>
      <c r="H258" s="2"/>
      <c r="I258" s="2"/>
      <c r="J258" s="38"/>
      <c r="K258" s="2"/>
      <c r="L258" s="2"/>
      <c r="M258" s="2"/>
    </row>
    <row r="259" spans="3:13" x14ac:dyDescent="0.3">
      <c r="C259" s="140"/>
      <c r="D259" s="1"/>
      <c r="E259" s="69"/>
      <c r="F259" s="69"/>
      <c r="G259" s="4"/>
      <c r="H259" s="2"/>
      <c r="I259" s="2"/>
      <c r="J259" s="38"/>
      <c r="K259" s="2"/>
      <c r="L259" s="2"/>
      <c r="M259" s="2"/>
    </row>
    <row r="260" spans="3:13" x14ac:dyDescent="0.3">
      <c r="C260" s="140"/>
      <c r="D260" s="1"/>
      <c r="E260" s="69"/>
      <c r="F260" s="69"/>
      <c r="G260" s="4"/>
      <c r="H260" s="2"/>
      <c r="I260" s="2"/>
      <c r="J260" s="38"/>
      <c r="K260" s="2"/>
      <c r="L260" s="2"/>
      <c r="M260" s="2"/>
    </row>
    <row r="261" spans="3:13" x14ac:dyDescent="0.3">
      <c r="C261" s="140"/>
      <c r="D261" s="1"/>
      <c r="E261" s="69"/>
      <c r="F261" s="69"/>
      <c r="G261" s="4"/>
      <c r="H261" s="2"/>
      <c r="I261" s="2"/>
      <c r="J261" s="38"/>
      <c r="K261" s="2"/>
      <c r="L261" s="2"/>
      <c r="M261" s="2"/>
    </row>
    <row r="262" spans="3:13" x14ac:dyDescent="0.3">
      <c r="C262" s="140"/>
      <c r="D262" s="1"/>
      <c r="E262" s="69"/>
      <c r="F262" s="69"/>
      <c r="G262" s="4"/>
      <c r="H262" s="2"/>
      <c r="I262" s="2"/>
      <c r="J262" s="38"/>
      <c r="K262" s="2"/>
      <c r="L262" s="2"/>
      <c r="M262" s="2"/>
    </row>
    <row r="263" spans="3:13" x14ac:dyDescent="0.3">
      <c r="C263" s="140"/>
      <c r="D263" s="1"/>
      <c r="E263" s="69"/>
      <c r="F263" s="69"/>
      <c r="G263" s="4"/>
      <c r="H263" s="2"/>
      <c r="I263" s="2"/>
      <c r="J263" s="38"/>
      <c r="K263" s="2"/>
      <c r="L263" s="2"/>
      <c r="M263" s="2"/>
    </row>
    <row r="264" spans="3:13" x14ac:dyDescent="0.3">
      <c r="C264" s="140"/>
      <c r="D264" s="1"/>
      <c r="E264" s="69"/>
      <c r="F264" s="69"/>
      <c r="G264" s="4"/>
      <c r="H264" s="2"/>
      <c r="I264" s="2"/>
      <c r="J264" s="38"/>
      <c r="K264" s="2"/>
      <c r="L264" s="2"/>
      <c r="M264" s="2"/>
    </row>
    <row r="265" spans="3:13" x14ac:dyDescent="0.3">
      <c r="C265" s="140"/>
      <c r="D265" s="1"/>
      <c r="E265" s="69"/>
      <c r="F265" s="69"/>
      <c r="G265" s="4"/>
      <c r="H265" s="2"/>
      <c r="I265" s="2"/>
      <c r="J265" s="38"/>
      <c r="K265" s="2"/>
      <c r="L265" s="2"/>
      <c r="M265" s="2"/>
    </row>
    <row r="266" spans="3:13" x14ac:dyDescent="0.3">
      <c r="C266" s="140"/>
      <c r="D266" s="1"/>
      <c r="E266" s="69"/>
      <c r="F266" s="69"/>
      <c r="G266" s="4"/>
      <c r="H266" s="2"/>
      <c r="I266" s="2"/>
      <c r="J266" s="38"/>
      <c r="K266" s="2"/>
      <c r="L266" s="2"/>
      <c r="M266" s="2"/>
    </row>
    <row r="267" spans="3:13" x14ac:dyDescent="0.3">
      <c r="C267" s="140"/>
      <c r="D267" s="1"/>
      <c r="E267" s="69"/>
      <c r="F267" s="69"/>
      <c r="G267" s="4"/>
      <c r="H267" s="2"/>
      <c r="I267" s="2"/>
      <c r="J267" s="38"/>
      <c r="K267" s="2"/>
      <c r="L267" s="2"/>
      <c r="M267" s="2"/>
    </row>
    <row r="268" spans="3:13" x14ac:dyDescent="0.3">
      <c r="C268" s="140"/>
      <c r="D268" s="1"/>
      <c r="E268" s="69"/>
      <c r="F268" s="69"/>
      <c r="G268" s="4"/>
      <c r="H268" s="2"/>
      <c r="I268" s="2"/>
      <c r="J268" s="38"/>
      <c r="K268" s="2"/>
      <c r="L268" s="2"/>
      <c r="M268" s="2"/>
    </row>
    <row r="269" spans="3:13" x14ac:dyDescent="0.3">
      <c r="C269" s="140"/>
      <c r="D269" s="1"/>
      <c r="E269" s="69"/>
      <c r="F269" s="69"/>
      <c r="G269" s="4"/>
      <c r="H269" s="2"/>
      <c r="I269" s="2"/>
      <c r="J269" s="38"/>
      <c r="K269" s="2"/>
      <c r="L269" s="2"/>
      <c r="M269" s="2"/>
    </row>
    <row r="270" spans="3:13" x14ac:dyDescent="0.3">
      <c r="C270" s="140"/>
      <c r="D270" s="1"/>
      <c r="E270" s="69"/>
      <c r="F270" s="69"/>
      <c r="G270" s="4"/>
      <c r="H270" s="2"/>
      <c r="I270" s="2"/>
      <c r="J270" s="38"/>
      <c r="K270" s="2"/>
      <c r="L270" s="2"/>
      <c r="M270" s="2"/>
    </row>
    <row r="271" spans="3:13" x14ac:dyDescent="0.3">
      <c r="C271" s="140"/>
      <c r="D271" s="1"/>
      <c r="E271" s="69"/>
      <c r="F271" s="69"/>
      <c r="G271" s="4"/>
      <c r="H271" s="2"/>
      <c r="I271" s="2"/>
      <c r="J271" s="38"/>
      <c r="K271" s="2"/>
      <c r="L271" s="2"/>
      <c r="M271" s="2"/>
    </row>
    <row r="272" spans="3:13" x14ac:dyDescent="0.3">
      <c r="C272" s="140"/>
      <c r="D272" s="1"/>
      <c r="E272" s="69"/>
      <c r="F272" s="69"/>
      <c r="G272" s="4"/>
      <c r="H272" s="2"/>
      <c r="I272" s="2"/>
      <c r="J272" s="38"/>
      <c r="K272" s="2"/>
      <c r="L272" s="2"/>
      <c r="M272" s="2"/>
    </row>
    <row r="273" spans="3:13" x14ac:dyDescent="0.3">
      <c r="C273" s="140"/>
      <c r="D273" s="1"/>
      <c r="E273" s="69"/>
      <c r="F273" s="69"/>
      <c r="G273" s="4"/>
      <c r="H273" s="2"/>
      <c r="I273" s="2"/>
      <c r="J273" s="38"/>
      <c r="K273" s="2"/>
      <c r="L273" s="2"/>
      <c r="M273" s="2"/>
    </row>
    <row r="274" spans="3:13" x14ac:dyDescent="0.3">
      <c r="C274" s="140"/>
      <c r="D274" s="1"/>
      <c r="E274" s="69"/>
      <c r="F274" s="69"/>
      <c r="G274" s="4"/>
      <c r="H274" s="2"/>
      <c r="I274" s="2"/>
      <c r="J274" s="38"/>
      <c r="K274" s="2"/>
      <c r="L274" s="2"/>
      <c r="M274" s="2"/>
    </row>
    <row r="275" spans="3:13" x14ac:dyDescent="0.3">
      <c r="C275" s="140"/>
      <c r="D275" s="1"/>
      <c r="E275" s="69"/>
      <c r="F275" s="69"/>
      <c r="G275" s="4"/>
      <c r="H275" s="2"/>
      <c r="I275" s="2"/>
      <c r="J275" s="38"/>
      <c r="K275" s="2"/>
      <c r="L275" s="2"/>
      <c r="M275" s="2"/>
    </row>
    <row r="276" spans="3:13" x14ac:dyDescent="0.3">
      <c r="C276" s="140"/>
      <c r="D276" s="1"/>
      <c r="E276" s="69"/>
      <c r="F276" s="69"/>
      <c r="G276" s="4"/>
      <c r="H276" s="2"/>
      <c r="I276" s="2"/>
      <c r="J276" s="38"/>
      <c r="K276" s="2"/>
      <c r="L276" s="2"/>
      <c r="M276" s="2"/>
    </row>
    <row r="277" spans="3:13" x14ac:dyDescent="0.3">
      <c r="C277" s="140"/>
      <c r="D277" s="1"/>
      <c r="E277" s="69"/>
      <c r="F277" s="69"/>
      <c r="G277" s="4"/>
      <c r="H277" s="2"/>
      <c r="I277" s="2"/>
      <c r="J277" s="38"/>
      <c r="K277" s="2"/>
      <c r="L277" s="2"/>
      <c r="M277" s="2"/>
    </row>
    <row r="278" spans="3:13" x14ac:dyDescent="0.3">
      <c r="C278" s="140"/>
      <c r="D278" s="1"/>
      <c r="E278" s="69"/>
      <c r="F278" s="69"/>
      <c r="G278" s="4"/>
      <c r="H278" s="2"/>
      <c r="I278" s="2"/>
      <c r="J278" s="38"/>
      <c r="K278" s="2"/>
      <c r="L278" s="2"/>
      <c r="M278" s="2"/>
    </row>
    <row r="279" spans="3:13" x14ac:dyDescent="0.3">
      <c r="C279" s="140"/>
      <c r="D279" s="1"/>
      <c r="E279" s="69"/>
      <c r="F279" s="69"/>
      <c r="G279" s="4"/>
      <c r="H279" s="2"/>
      <c r="I279" s="2"/>
      <c r="J279" s="38"/>
      <c r="K279" s="2"/>
      <c r="L279" s="2"/>
      <c r="M279" s="2"/>
    </row>
    <row r="280" spans="3:13" x14ac:dyDescent="0.3">
      <c r="C280" s="140"/>
      <c r="D280" s="1"/>
      <c r="E280" s="69"/>
      <c r="F280" s="69"/>
      <c r="G280" s="4"/>
      <c r="H280" s="2"/>
      <c r="I280" s="2"/>
      <c r="J280" s="38"/>
      <c r="K280" s="2"/>
      <c r="L280" s="2"/>
      <c r="M280" s="2"/>
    </row>
    <row r="281" spans="3:13" x14ac:dyDescent="0.3">
      <c r="C281" s="140"/>
      <c r="D281" s="1"/>
      <c r="E281" s="69"/>
      <c r="F281" s="69"/>
      <c r="G281" s="4"/>
      <c r="H281" s="2"/>
      <c r="I281" s="2"/>
      <c r="J281" s="38"/>
      <c r="K281" s="2"/>
      <c r="L281" s="2"/>
      <c r="M281" s="2"/>
    </row>
    <row r="282" spans="3:13" x14ac:dyDescent="0.3">
      <c r="C282" s="140"/>
      <c r="D282" s="1"/>
      <c r="E282" s="69"/>
      <c r="F282" s="69"/>
      <c r="G282" s="4"/>
      <c r="H282" s="2"/>
      <c r="I282" s="2"/>
      <c r="J282" s="38"/>
      <c r="K282" s="2"/>
      <c r="L282" s="2"/>
      <c r="M282" s="2"/>
    </row>
    <row r="283" spans="3:13" x14ac:dyDescent="0.3">
      <c r="C283" s="140"/>
      <c r="D283" s="1"/>
      <c r="E283" s="69"/>
      <c r="F283" s="69"/>
      <c r="G283" s="4"/>
      <c r="H283" s="2"/>
      <c r="I283" s="2"/>
      <c r="J283" s="38"/>
      <c r="K283" s="2"/>
      <c r="L283" s="2"/>
      <c r="M283" s="2"/>
    </row>
    <row r="284" spans="3:13" x14ac:dyDescent="0.3">
      <c r="C284" s="140"/>
      <c r="D284" s="1"/>
      <c r="E284" s="69"/>
      <c r="F284" s="69"/>
      <c r="G284" s="4"/>
      <c r="H284" s="2"/>
      <c r="I284" s="2"/>
      <c r="J284" s="38"/>
      <c r="K284" s="2"/>
      <c r="L284" s="2"/>
      <c r="M284" s="2"/>
    </row>
    <row r="285" spans="3:13" x14ac:dyDescent="0.3">
      <c r="C285" s="140"/>
      <c r="D285" s="1"/>
      <c r="E285" s="69"/>
      <c r="F285" s="69"/>
      <c r="G285" s="4"/>
      <c r="H285" s="2"/>
      <c r="I285" s="2"/>
      <c r="J285" s="38"/>
      <c r="K285" s="2"/>
      <c r="L285" s="2"/>
      <c r="M285" s="2"/>
    </row>
    <row r="286" spans="3:13" x14ac:dyDescent="0.3">
      <c r="C286" s="140"/>
      <c r="D286" s="1"/>
      <c r="E286" s="69"/>
      <c r="F286" s="69"/>
      <c r="G286" s="4"/>
      <c r="H286" s="2"/>
      <c r="I286" s="2"/>
      <c r="J286" s="38"/>
      <c r="K286" s="2"/>
      <c r="L286" s="2"/>
      <c r="M286" s="2"/>
    </row>
    <row r="287" spans="3:13" x14ac:dyDescent="0.3">
      <c r="C287" s="140"/>
      <c r="D287" s="1"/>
      <c r="E287" s="69"/>
      <c r="F287" s="69"/>
      <c r="G287" s="4"/>
      <c r="H287" s="2"/>
      <c r="I287" s="2"/>
      <c r="J287" s="38"/>
      <c r="K287" s="2"/>
      <c r="L287" s="2"/>
      <c r="M287" s="2"/>
    </row>
    <row r="288" spans="3:13" x14ac:dyDescent="0.3">
      <c r="C288" s="140"/>
      <c r="D288" s="1"/>
      <c r="E288" s="69"/>
      <c r="F288" s="69"/>
      <c r="G288" s="4"/>
      <c r="H288" s="2"/>
      <c r="I288" s="2"/>
      <c r="J288" s="38"/>
      <c r="K288" s="2"/>
      <c r="L288" s="2"/>
      <c r="M288" s="2"/>
    </row>
    <row r="289" spans="3:13" x14ac:dyDescent="0.3">
      <c r="C289" s="140"/>
      <c r="D289" s="1"/>
      <c r="E289" s="69"/>
      <c r="F289" s="69"/>
      <c r="G289" s="4"/>
      <c r="H289" s="2"/>
      <c r="I289" s="2"/>
      <c r="J289" s="38"/>
      <c r="K289" s="2"/>
      <c r="L289" s="2"/>
      <c r="M289" s="2"/>
    </row>
    <row r="290" spans="3:13" x14ac:dyDescent="0.3">
      <c r="C290" s="140"/>
      <c r="D290" s="1"/>
      <c r="E290" s="69"/>
      <c r="F290" s="69"/>
      <c r="G290" s="4"/>
      <c r="H290" s="2"/>
      <c r="I290" s="2"/>
      <c r="J290" s="38"/>
      <c r="K290" s="2"/>
      <c r="L290" s="2"/>
      <c r="M290" s="2"/>
    </row>
    <row r="291" spans="3:13" x14ac:dyDescent="0.3">
      <c r="C291" s="140"/>
      <c r="D291" s="1"/>
      <c r="E291" s="69"/>
      <c r="F291" s="69"/>
      <c r="G291" s="4"/>
      <c r="H291" s="2"/>
      <c r="I291" s="2"/>
      <c r="J291" s="38"/>
      <c r="K291" s="2"/>
      <c r="L291" s="2"/>
      <c r="M291" s="2"/>
    </row>
    <row r="292" spans="3:13" x14ac:dyDescent="0.3">
      <c r="C292" s="140"/>
      <c r="D292" s="1"/>
      <c r="E292" s="69"/>
      <c r="F292" s="69"/>
      <c r="G292" s="4"/>
      <c r="H292" s="2"/>
      <c r="I292" s="2"/>
      <c r="J292" s="38"/>
      <c r="K292" s="2"/>
      <c r="L292" s="2"/>
      <c r="M292" s="2"/>
    </row>
    <row r="293" spans="3:13" x14ac:dyDescent="0.3">
      <c r="C293" s="140"/>
      <c r="D293" s="1"/>
      <c r="E293" s="69"/>
      <c r="F293" s="69"/>
      <c r="G293" s="4"/>
      <c r="H293" s="2"/>
      <c r="I293" s="2"/>
      <c r="J293" s="38"/>
      <c r="K293" s="2"/>
      <c r="L293" s="2"/>
      <c r="M293" s="2"/>
    </row>
    <row r="294" spans="3:13" x14ac:dyDescent="0.3">
      <c r="C294" s="140"/>
      <c r="D294" s="1"/>
      <c r="E294" s="69"/>
      <c r="F294" s="69"/>
      <c r="G294" s="4"/>
      <c r="H294" s="2"/>
      <c r="I294" s="2"/>
      <c r="J294" s="38"/>
      <c r="K294" s="2"/>
      <c r="L294" s="2"/>
      <c r="M294" s="2"/>
    </row>
    <row r="295" spans="3:13" x14ac:dyDescent="0.3">
      <c r="C295" s="140"/>
      <c r="D295" s="1"/>
      <c r="E295" s="69"/>
      <c r="F295" s="69"/>
      <c r="G295" s="4"/>
      <c r="H295" s="2"/>
      <c r="I295" s="2"/>
      <c r="J295" s="38"/>
      <c r="K295" s="2"/>
      <c r="L295" s="2"/>
      <c r="M295" s="2"/>
    </row>
    <row r="296" spans="3:13" x14ac:dyDescent="0.3">
      <c r="C296" s="140"/>
      <c r="D296" s="1"/>
      <c r="E296" s="69"/>
      <c r="F296" s="69"/>
      <c r="G296" s="4"/>
      <c r="H296" s="2"/>
      <c r="I296" s="2"/>
      <c r="J296" s="38"/>
      <c r="K296" s="2"/>
      <c r="L296" s="2"/>
      <c r="M296" s="2"/>
    </row>
    <row r="297" spans="3:13" x14ac:dyDescent="0.3">
      <c r="C297" s="140"/>
      <c r="D297" s="1"/>
      <c r="E297" s="69"/>
      <c r="F297" s="69"/>
      <c r="G297" s="4"/>
      <c r="H297" s="2"/>
      <c r="I297" s="2"/>
      <c r="J297" s="38"/>
      <c r="K297" s="2"/>
      <c r="L297" s="2"/>
      <c r="M297" s="2"/>
    </row>
    <row r="298" spans="3:13" x14ac:dyDescent="0.3">
      <c r="C298" s="140"/>
      <c r="D298" s="1"/>
      <c r="E298" s="69"/>
      <c r="F298" s="69"/>
      <c r="G298" s="4"/>
      <c r="H298" s="2"/>
      <c r="I298" s="2"/>
      <c r="J298" s="38"/>
      <c r="K298" s="2"/>
      <c r="L298" s="2"/>
      <c r="M298" s="2"/>
    </row>
    <row r="299" spans="3:13" x14ac:dyDescent="0.3">
      <c r="C299" s="140"/>
      <c r="D299" s="1"/>
      <c r="E299" s="69"/>
      <c r="F299" s="69"/>
      <c r="G299" s="4"/>
      <c r="H299" s="2"/>
      <c r="I299" s="2"/>
      <c r="J299" s="38"/>
      <c r="K299" s="2"/>
      <c r="L299" s="2"/>
      <c r="M299" s="2"/>
    </row>
    <row r="300" spans="3:13" x14ac:dyDescent="0.3">
      <c r="C300" s="140"/>
      <c r="D300" s="1"/>
      <c r="E300" s="69"/>
      <c r="F300" s="69"/>
      <c r="G300" s="4"/>
      <c r="H300" s="2"/>
      <c r="I300" s="2"/>
      <c r="J300" s="38"/>
      <c r="K300" s="2"/>
      <c r="L300" s="2"/>
      <c r="M300" s="2"/>
    </row>
    <row r="301" spans="3:13" x14ac:dyDescent="0.3">
      <c r="C301" s="140"/>
      <c r="D301" s="1"/>
      <c r="E301" s="69"/>
      <c r="F301" s="69"/>
      <c r="G301" s="4"/>
      <c r="H301" s="2"/>
      <c r="I301" s="2"/>
      <c r="J301" s="38"/>
      <c r="K301" s="2"/>
      <c r="L301" s="2"/>
      <c r="M301" s="2"/>
    </row>
    <row r="302" spans="3:13" x14ac:dyDescent="0.3">
      <c r="C302" s="140"/>
      <c r="D302" s="1"/>
      <c r="E302" s="69"/>
      <c r="F302" s="69"/>
      <c r="G302" s="4"/>
      <c r="H302" s="2"/>
      <c r="I302" s="2"/>
      <c r="J302" s="38"/>
      <c r="K302" s="2"/>
      <c r="L302" s="2"/>
      <c r="M302" s="2"/>
    </row>
    <row r="303" spans="3:13" x14ac:dyDescent="0.3">
      <c r="C303" s="140"/>
      <c r="D303" s="1"/>
      <c r="E303" s="69"/>
      <c r="F303" s="69"/>
      <c r="G303" s="4"/>
      <c r="H303" s="2"/>
      <c r="I303" s="2"/>
      <c r="J303" s="38"/>
      <c r="K303" s="2"/>
      <c r="L303" s="2"/>
      <c r="M303" s="2"/>
    </row>
    <row r="304" spans="3:13" x14ac:dyDescent="0.3">
      <c r="C304" s="140"/>
      <c r="D304" s="1"/>
      <c r="E304" s="69"/>
      <c r="F304" s="69"/>
      <c r="G304" s="4"/>
      <c r="H304" s="2"/>
      <c r="I304" s="2"/>
      <c r="J304" s="38"/>
      <c r="K304" s="2"/>
      <c r="L304" s="2"/>
      <c r="M304" s="2"/>
    </row>
    <row r="305" spans="3:13" x14ac:dyDescent="0.3">
      <c r="C305" s="140"/>
      <c r="D305" s="1"/>
      <c r="E305" s="69"/>
      <c r="F305" s="69"/>
      <c r="G305" s="4"/>
      <c r="H305" s="2"/>
      <c r="I305" s="2"/>
      <c r="J305" s="38"/>
      <c r="K305" s="2"/>
      <c r="L305" s="2"/>
      <c r="M305" s="2"/>
    </row>
    <row r="306" spans="3:13" x14ac:dyDescent="0.3">
      <c r="C306" s="140"/>
      <c r="D306" s="1"/>
      <c r="E306" s="69"/>
      <c r="F306" s="69"/>
      <c r="G306" s="4"/>
      <c r="H306" s="2"/>
      <c r="I306" s="2"/>
      <c r="J306" s="38"/>
      <c r="K306" s="2"/>
      <c r="L306" s="2"/>
      <c r="M306" s="2"/>
    </row>
    <row r="307" spans="3:13" x14ac:dyDescent="0.3">
      <c r="C307" s="140"/>
      <c r="D307" s="1"/>
      <c r="E307" s="69"/>
      <c r="F307" s="69"/>
      <c r="G307" s="4"/>
      <c r="H307" s="2"/>
      <c r="I307" s="2"/>
      <c r="J307" s="38"/>
      <c r="K307" s="2"/>
      <c r="L307" s="2"/>
      <c r="M307" s="2"/>
    </row>
    <row r="308" spans="3:13" x14ac:dyDescent="0.3">
      <c r="C308" s="140"/>
      <c r="D308" s="1"/>
      <c r="E308" s="69"/>
      <c r="F308" s="69"/>
      <c r="G308" s="4"/>
      <c r="H308" s="2"/>
      <c r="I308" s="2"/>
      <c r="J308" s="38"/>
      <c r="K308" s="2"/>
      <c r="L308" s="2"/>
      <c r="M308" s="2"/>
    </row>
    <row r="309" spans="3:13" x14ac:dyDescent="0.3">
      <c r="C309" s="140"/>
      <c r="D309" s="1"/>
      <c r="E309" s="69"/>
      <c r="F309" s="69"/>
      <c r="G309" s="4"/>
      <c r="H309" s="2"/>
      <c r="I309" s="2"/>
      <c r="J309" s="38"/>
      <c r="K309" s="2"/>
      <c r="L309" s="2"/>
      <c r="M309" s="2"/>
    </row>
    <row r="310" spans="3:13" x14ac:dyDescent="0.3">
      <c r="C310" s="140"/>
      <c r="D310" s="1"/>
      <c r="E310" s="69"/>
      <c r="F310" s="69"/>
      <c r="G310" s="4"/>
      <c r="H310" s="2"/>
      <c r="I310" s="2"/>
      <c r="J310" s="38"/>
      <c r="K310" s="2"/>
      <c r="L310" s="2"/>
      <c r="M310" s="2"/>
    </row>
    <row r="311" spans="3:13" x14ac:dyDescent="0.3">
      <c r="C311" s="140"/>
      <c r="D311" s="1"/>
      <c r="E311" s="69"/>
      <c r="F311" s="69"/>
      <c r="G311" s="4"/>
      <c r="H311" s="2"/>
      <c r="I311" s="2"/>
      <c r="J311" s="38"/>
      <c r="K311" s="2"/>
      <c r="L311" s="2"/>
      <c r="M311" s="2"/>
    </row>
    <row r="312" spans="3:13" x14ac:dyDescent="0.3">
      <c r="C312" s="140"/>
      <c r="D312" s="1"/>
      <c r="E312" s="69"/>
      <c r="F312" s="69"/>
      <c r="G312" s="4"/>
      <c r="H312" s="2"/>
      <c r="I312" s="2"/>
      <c r="J312" s="38"/>
      <c r="K312" s="2"/>
      <c r="L312" s="2"/>
      <c r="M312" s="2"/>
    </row>
    <row r="313" spans="3:13" x14ac:dyDescent="0.3">
      <c r="C313" s="140"/>
      <c r="D313" s="1"/>
      <c r="E313" s="69"/>
      <c r="F313" s="69"/>
      <c r="G313" s="4"/>
      <c r="H313" s="2"/>
      <c r="I313" s="2"/>
      <c r="J313" s="38"/>
      <c r="K313" s="2"/>
      <c r="L313" s="2"/>
      <c r="M313" s="2"/>
    </row>
    <row r="314" spans="3:13" x14ac:dyDescent="0.3">
      <c r="C314" s="140"/>
      <c r="D314" s="1"/>
      <c r="E314" s="69"/>
      <c r="F314" s="69"/>
      <c r="G314" s="4"/>
      <c r="H314" s="2"/>
      <c r="I314" s="2"/>
      <c r="J314" s="38"/>
      <c r="K314" s="2"/>
      <c r="L314" s="2"/>
      <c r="M314" s="2"/>
    </row>
    <row r="315" spans="3:13" x14ac:dyDescent="0.3">
      <c r="C315" s="140"/>
      <c r="D315" s="1"/>
      <c r="E315" s="69"/>
      <c r="F315" s="69"/>
      <c r="G315" s="4"/>
      <c r="H315" s="2"/>
      <c r="I315" s="2"/>
      <c r="J315" s="38"/>
      <c r="K315" s="2"/>
      <c r="L315" s="2"/>
      <c r="M315" s="2"/>
    </row>
    <row r="316" spans="3:13" x14ac:dyDescent="0.3">
      <c r="C316" s="140"/>
      <c r="D316" s="1"/>
      <c r="E316" s="69"/>
      <c r="F316" s="69"/>
      <c r="G316" s="4"/>
      <c r="H316" s="2"/>
      <c r="I316" s="2"/>
      <c r="J316" s="38"/>
      <c r="K316" s="2"/>
      <c r="L316" s="2"/>
      <c r="M316" s="2"/>
    </row>
    <row r="317" spans="3:13" x14ac:dyDescent="0.3">
      <c r="C317" s="140"/>
      <c r="D317" s="1"/>
      <c r="E317" s="69"/>
      <c r="F317" s="69"/>
      <c r="G317" s="4"/>
      <c r="H317" s="2"/>
      <c r="I317" s="2"/>
      <c r="J317" s="38"/>
      <c r="K317" s="2"/>
      <c r="L317" s="2"/>
      <c r="M317" s="2"/>
    </row>
    <row r="318" spans="3:13" x14ac:dyDescent="0.3">
      <c r="C318" s="140"/>
      <c r="D318" s="1"/>
      <c r="E318" s="69"/>
      <c r="F318" s="69"/>
      <c r="G318" s="4"/>
      <c r="H318" s="2"/>
      <c r="I318" s="2"/>
      <c r="J318" s="38"/>
      <c r="K318" s="2"/>
      <c r="L318" s="2"/>
      <c r="M318" s="2"/>
    </row>
    <row r="319" spans="3:13" x14ac:dyDescent="0.3">
      <c r="C319" s="140"/>
      <c r="D319" s="1"/>
      <c r="E319" s="69"/>
      <c r="F319" s="69"/>
      <c r="G319" s="4"/>
      <c r="H319" s="2"/>
      <c r="I319" s="2"/>
      <c r="J319" s="38"/>
      <c r="K319" s="2"/>
      <c r="L319" s="2"/>
      <c r="M319" s="2"/>
    </row>
    <row r="320" spans="3:13" x14ac:dyDescent="0.3">
      <c r="C320" s="140"/>
      <c r="D320" s="1"/>
      <c r="E320" s="69"/>
      <c r="F320" s="69"/>
      <c r="G320" s="4"/>
      <c r="H320" s="2"/>
      <c r="I320" s="2"/>
      <c r="J320" s="38"/>
      <c r="K320" s="2"/>
      <c r="L320" s="2"/>
      <c r="M320" s="2"/>
    </row>
    <row r="321" spans="3:13" x14ac:dyDescent="0.3">
      <c r="C321" s="140"/>
      <c r="D321" s="1"/>
      <c r="E321" s="69"/>
      <c r="F321" s="69"/>
      <c r="G321" s="4"/>
      <c r="H321" s="2"/>
      <c r="I321" s="2"/>
      <c r="J321" s="38"/>
      <c r="K321" s="2"/>
      <c r="L321" s="2"/>
      <c r="M321" s="2"/>
    </row>
    <row r="322" spans="3:13" x14ac:dyDescent="0.3">
      <c r="C322" s="140"/>
      <c r="D322" s="1"/>
      <c r="E322" s="69"/>
      <c r="F322" s="69"/>
      <c r="G322" s="4"/>
      <c r="H322" s="2"/>
      <c r="I322" s="2"/>
      <c r="J322" s="38"/>
      <c r="K322" s="2"/>
      <c r="L322" s="2"/>
      <c r="M322" s="2"/>
    </row>
    <row r="323" spans="3:13" x14ac:dyDescent="0.3">
      <c r="C323" s="140"/>
      <c r="D323" s="1"/>
      <c r="E323" s="69"/>
      <c r="F323" s="69"/>
      <c r="G323" s="4"/>
      <c r="H323" s="2"/>
      <c r="I323" s="2"/>
      <c r="J323" s="38"/>
      <c r="K323" s="2"/>
      <c r="L323" s="2"/>
      <c r="M323" s="2"/>
    </row>
    <row r="324" spans="3:13" x14ac:dyDescent="0.3">
      <c r="C324" s="140"/>
      <c r="D324" s="1"/>
      <c r="E324" s="69"/>
      <c r="F324" s="69"/>
      <c r="G324" s="4"/>
      <c r="H324" s="2"/>
      <c r="I324" s="2"/>
      <c r="J324" s="38"/>
      <c r="K324" s="2"/>
      <c r="L324" s="2"/>
      <c r="M324" s="2"/>
    </row>
    <row r="325" spans="3:13" x14ac:dyDescent="0.3">
      <c r="C325" s="140"/>
      <c r="D325" s="1"/>
      <c r="E325" s="69"/>
      <c r="F325" s="69"/>
      <c r="G325" s="4"/>
      <c r="H325" s="2"/>
      <c r="I325" s="2"/>
      <c r="J325" s="38"/>
      <c r="K325" s="2"/>
      <c r="L325" s="2"/>
      <c r="M325" s="2"/>
    </row>
    <row r="326" spans="3:13" x14ac:dyDescent="0.3">
      <c r="C326" s="140"/>
      <c r="D326" s="1"/>
      <c r="E326" s="69"/>
      <c r="F326" s="69"/>
      <c r="G326" s="4"/>
      <c r="H326" s="2"/>
      <c r="I326" s="2"/>
      <c r="J326" s="38"/>
      <c r="K326" s="2"/>
      <c r="L326" s="2"/>
      <c r="M326" s="2"/>
    </row>
    <row r="327" spans="3:13" x14ac:dyDescent="0.3">
      <c r="C327" s="140"/>
      <c r="D327" s="1"/>
      <c r="E327" s="69"/>
      <c r="F327" s="69"/>
      <c r="G327" s="4"/>
      <c r="H327" s="2"/>
      <c r="I327" s="2"/>
      <c r="J327" s="38"/>
      <c r="K327" s="2"/>
      <c r="L327" s="2"/>
      <c r="M327" s="2"/>
    </row>
    <row r="328" spans="3:13" x14ac:dyDescent="0.3">
      <c r="C328" s="140"/>
      <c r="D328" s="1"/>
      <c r="E328" s="69"/>
      <c r="F328" s="69"/>
      <c r="G328" s="4"/>
      <c r="H328" s="2"/>
      <c r="I328" s="2"/>
      <c r="J328" s="38"/>
      <c r="K328" s="2"/>
      <c r="L328" s="2"/>
      <c r="M328" s="2"/>
    </row>
    <row r="329" spans="3:13" x14ac:dyDescent="0.3">
      <c r="C329" s="140"/>
      <c r="D329" s="1"/>
      <c r="E329" s="69"/>
      <c r="F329" s="69"/>
      <c r="G329" s="4"/>
      <c r="H329" s="2"/>
      <c r="I329" s="2"/>
      <c r="J329" s="38"/>
      <c r="K329" s="2"/>
      <c r="L329" s="2"/>
      <c r="M329" s="2"/>
    </row>
    <row r="330" spans="3:13" x14ac:dyDescent="0.3">
      <c r="C330" s="140"/>
      <c r="D330" s="1"/>
      <c r="E330" s="69"/>
      <c r="F330" s="69"/>
      <c r="G330" s="4"/>
      <c r="H330" s="2"/>
      <c r="I330" s="2"/>
      <c r="J330" s="38"/>
      <c r="K330" s="2"/>
      <c r="L330" s="2"/>
      <c r="M330" s="2"/>
    </row>
    <row r="331" spans="3:13" x14ac:dyDescent="0.3">
      <c r="C331" s="140"/>
      <c r="D331" s="1"/>
      <c r="E331" s="69"/>
      <c r="F331" s="69"/>
      <c r="G331" s="4"/>
      <c r="H331" s="2"/>
      <c r="I331" s="2"/>
      <c r="J331" s="38"/>
      <c r="K331" s="2"/>
      <c r="L331" s="2"/>
      <c r="M331" s="2"/>
    </row>
    <row r="332" spans="3:13" x14ac:dyDescent="0.3">
      <c r="C332" s="140"/>
      <c r="D332" s="1"/>
      <c r="E332" s="69"/>
      <c r="F332" s="69"/>
      <c r="G332" s="4"/>
      <c r="H332" s="2"/>
      <c r="I332" s="2"/>
      <c r="J332" s="38"/>
      <c r="K332" s="2"/>
      <c r="L332" s="2"/>
      <c r="M332" s="2"/>
    </row>
    <row r="333" spans="3:13" x14ac:dyDescent="0.3">
      <c r="C333" s="140"/>
      <c r="D333" s="1"/>
      <c r="E333" s="69"/>
      <c r="F333" s="69"/>
      <c r="G333" s="4"/>
      <c r="H333" s="2"/>
      <c r="I333" s="2"/>
      <c r="J333" s="38"/>
      <c r="K333" s="2"/>
      <c r="L333" s="2"/>
      <c r="M333" s="2"/>
    </row>
    <row r="334" spans="3:13" x14ac:dyDescent="0.3">
      <c r="C334" s="140"/>
      <c r="D334" s="1"/>
      <c r="E334" s="69"/>
      <c r="F334" s="69"/>
      <c r="G334" s="4"/>
      <c r="H334" s="2"/>
      <c r="I334" s="2"/>
      <c r="J334" s="38"/>
      <c r="K334" s="2"/>
      <c r="L334" s="2"/>
      <c r="M334" s="2"/>
    </row>
    <row r="335" spans="3:13" x14ac:dyDescent="0.3">
      <c r="C335" s="140"/>
      <c r="D335" s="1"/>
      <c r="E335" s="69"/>
      <c r="F335" s="69"/>
      <c r="G335" s="4"/>
      <c r="H335" s="2"/>
      <c r="I335" s="2"/>
      <c r="J335" s="38"/>
      <c r="K335" s="2"/>
      <c r="L335" s="2"/>
      <c r="M335" s="2"/>
    </row>
    <row r="336" spans="3:13" x14ac:dyDescent="0.3">
      <c r="C336" s="140"/>
      <c r="D336" s="1"/>
      <c r="E336" s="69"/>
      <c r="F336" s="69"/>
      <c r="G336" s="4"/>
      <c r="H336" s="2"/>
      <c r="I336" s="2"/>
      <c r="J336" s="38"/>
      <c r="K336" s="2"/>
      <c r="L336" s="2"/>
      <c r="M336" s="2"/>
    </row>
    <row r="337" spans="3:13" x14ac:dyDescent="0.3">
      <c r="C337" s="140"/>
      <c r="D337" s="1"/>
      <c r="E337" s="69"/>
      <c r="F337" s="69"/>
      <c r="G337" s="4"/>
      <c r="H337" s="2"/>
      <c r="I337" s="2"/>
      <c r="J337" s="38"/>
      <c r="K337" s="2"/>
      <c r="L337" s="2"/>
      <c r="M337" s="2"/>
    </row>
    <row r="338" spans="3:13" x14ac:dyDescent="0.3">
      <c r="C338" s="140"/>
      <c r="D338" s="1"/>
      <c r="E338" s="69"/>
      <c r="F338" s="69"/>
      <c r="G338" s="4"/>
      <c r="H338" s="2"/>
      <c r="I338" s="2"/>
      <c r="J338" s="38"/>
      <c r="K338" s="2"/>
      <c r="L338" s="2"/>
      <c r="M338" s="2"/>
    </row>
    <row r="339" spans="3:13" x14ac:dyDescent="0.3">
      <c r="C339" s="140"/>
      <c r="D339" s="1"/>
      <c r="E339" s="69"/>
      <c r="F339" s="69"/>
      <c r="G339" s="4"/>
      <c r="H339" s="2"/>
      <c r="I339" s="2"/>
      <c r="J339" s="38"/>
      <c r="K339" s="2"/>
      <c r="L339" s="2"/>
      <c r="M339" s="2"/>
    </row>
    <row r="340" spans="3:13" x14ac:dyDescent="0.3">
      <c r="C340" s="140"/>
      <c r="D340" s="1"/>
      <c r="E340" s="69"/>
      <c r="F340" s="69"/>
      <c r="G340" s="4"/>
      <c r="H340" s="2"/>
      <c r="I340" s="2"/>
      <c r="J340" s="38"/>
      <c r="K340" s="2"/>
      <c r="L340" s="2"/>
      <c r="M340" s="2"/>
    </row>
    <row r="341" spans="3:13" x14ac:dyDescent="0.3">
      <c r="C341" s="140"/>
      <c r="D341" s="1"/>
      <c r="E341" s="69"/>
      <c r="F341" s="69"/>
      <c r="G341" s="4"/>
      <c r="H341" s="2"/>
      <c r="I341" s="2"/>
      <c r="J341" s="38"/>
      <c r="K341" s="2"/>
      <c r="L341" s="2"/>
      <c r="M341" s="2"/>
    </row>
    <row r="342" spans="3:13" x14ac:dyDescent="0.3">
      <c r="C342" s="140"/>
      <c r="D342" s="1"/>
      <c r="E342" s="69"/>
      <c r="F342" s="69"/>
      <c r="G342" s="4"/>
      <c r="H342" s="2"/>
      <c r="I342" s="2"/>
      <c r="J342" s="38"/>
      <c r="K342" s="2"/>
      <c r="L342" s="2"/>
      <c r="M342" s="2"/>
    </row>
    <row r="343" spans="3:13" x14ac:dyDescent="0.3">
      <c r="C343" s="140"/>
      <c r="D343" s="1"/>
      <c r="E343" s="69"/>
      <c r="F343" s="69"/>
      <c r="G343" s="4"/>
      <c r="H343" s="2"/>
      <c r="I343" s="2"/>
      <c r="J343" s="38"/>
      <c r="K343" s="2"/>
      <c r="L343" s="2"/>
      <c r="M343" s="2"/>
    </row>
    <row r="344" spans="3:13" x14ac:dyDescent="0.3">
      <c r="C344" s="140"/>
      <c r="D344" s="1"/>
      <c r="E344" s="69"/>
      <c r="F344" s="69"/>
      <c r="G344" s="4"/>
      <c r="H344" s="2"/>
      <c r="I344" s="2"/>
      <c r="J344" s="38"/>
      <c r="K344" s="2"/>
      <c r="L344" s="2"/>
      <c r="M344" s="2"/>
    </row>
    <row r="345" spans="3:13" x14ac:dyDescent="0.3">
      <c r="C345" s="140"/>
      <c r="D345" s="1"/>
      <c r="E345" s="69"/>
      <c r="F345" s="69"/>
      <c r="G345" s="4"/>
      <c r="H345" s="2"/>
      <c r="I345" s="2"/>
      <c r="J345" s="38"/>
      <c r="K345" s="2"/>
      <c r="L345" s="2"/>
      <c r="M345" s="2"/>
    </row>
    <row r="346" spans="3:13" x14ac:dyDescent="0.3">
      <c r="C346" s="140"/>
      <c r="D346" s="1"/>
      <c r="E346" s="69"/>
      <c r="F346" s="69"/>
      <c r="G346" s="4"/>
      <c r="H346" s="2"/>
      <c r="I346" s="2"/>
      <c r="J346" s="38"/>
      <c r="K346" s="2"/>
      <c r="L346" s="2"/>
      <c r="M346" s="2"/>
    </row>
    <row r="347" spans="3:13" x14ac:dyDescent="0.3">
      <c r="C347" s="140"/>
      <c r="D347" s="1"/>
      <c r="E347" s="69"/>
      <c r="F347" s="69"/>
      <c r="G347" s="4"/>
      <c r="H347" s="2"/>
      <c r="I347" s="2"/>
      <c r="J347" s="38"/>
      <c r="K347" s="2"/>
      <c r="L347" s="2"/>
      <c r="M347" s="2"/>
    </row>
    <row r="348" spans="3:13" x14ac:dyDescent="0.3">
      <c r="C348" s="140"/>
      <c r="D348" s="1"/>
      <c r="E348" s="69"/>
      <c r="F348" s="69"/>
      <c r="G348" s="4"/>
      <c r="H348" s="2"/>
      <c r="I348" s="2"/>
      <c r="J348" s="38"/>
      <c r="K348" s="2"/>
      <c r="L348" s="2"/>
      <c r="M348" s="2"/>
    </row>
    <row r="349" spans="3:13" x14ac:dyDescent="0.3">
      <c r="C349" s="140"/>
      <c r="D349" s="1"/>
      <c r="E349" s="69"/>
      <c r="F349" s="69"/>
      <c r="G349" s="4"/>
      <c r="H349" s="2"/>
      <c r="I349" s="2"/>
      <c r="J349" s="38"/>
      <c r="K349" s="2"/>
      <c r="L349" s="2"/>
      <c r="M349" s="2"/>
    </row>
    <row r="350" spans="3:13" x14ac:dyDescent="0.3">
      <c r="C350" s="140"/>
      <c r="D350" s="1"/>
      <c r="E350" s="69"/>
      <c r="F350" s="69"/>
      <c r="G350" s="4"/>
      <c r="H350" s="2"/>
      <c r="I350" s="2"/>
      <c r="J350" s="38"/>
      <c r="K350" s="2"/>
      <c r="L350" s="2"/>
      <c r="M350" s="2"/>
    </row>
    <row r="351" spans="3:13" x14ac:dyDescent="0.3">
      <c r="C351" s="140"/>
      <c r="D351" s="1"/>
      <c r="E351" s="69"/>
      <c r="F351" s="69"/>
      <c r="G351" s="4"/>
      <c r="H351" s="2"/>
      <c r="I351" s="2"/>
      <c r="J351" s="38"/>
      <c r="K351" s="2"/>
      <c r="L351" s="2"/>
      <c r="M351" s="2"/>
    </row>
    <row r="352" spans="3:13" x14ac:dyDescent="0.3">
      <c r="C352" s="140"/>
      <c r="D352" s="1"/>
      <c r="E352" s="69"/>
      <c r="F352" s="69"/>
      <c r="G352" s="4"/>
      <c r="H352" s="2"/>
      <c r="I352" s="2"/>
      <c r="J352" s="38"/>
      <c r="K352" s="2"/>
      <c r="L352" s="2"/>
      <c r="M352" s="2"/>
    </row>
    <row r="353" spans="3:13" x14ac:dyDescent="0.3">
      <c r="C353" s="140"/>
      <c r="D353" s="1"/>
      <c r="E353" s="69"/>
      <c r="F353" s="69"/>
      <c r="G353" s="4"/>
      <c r="H353" s="2"/>
      <c r="I353" s="2"/>
      <c r="J353" s="38"/>
      <c r="K353" s="2"/>
      <c r="L353" s="2"/>
      <c r="M353" s="2"/>
    </row>
    <row r="354" spans="3:13" x14ac:dyDescent="0.3">
      <c r="C354" s="140"/>
      <c r="D354" s="1"/>
      <c r="E354" s="69"/>
      <c r="F354" s="69"/>
      <c r="G354" s="4"/>
      <c r="H354" s="2"/>
      <c r="I354" s="2"/>
      <c r="J354" s="38"/>
      <c r="K354" s="2"/>
      <c r="L354" s="2"/>
      <c r="M354" s="2"/>
    </row>
    <row r="355" spans="3:13" x14ac:dyDescent="0.3">
      <c r="C355" s="140"/>
      <c r="D355" s="1"/>
      <c r="E355" s="69"/>
      <c r="F355" s="69"/>
      <c r="G355" s="4"/>
      <c r="H355" s="2"/>
      <c r="I355" s="2"/>
      <c r="J355" s="38"/>
      <c r="K355" s="2"/>
      <c r="L355" s="2"/>
      <c r="M355" s="2"/>
    </row>
    <row r="356" spans="3:13" x14ac:dyDescent="0.3">
      <c r="C356" s="140"/>
      <c r="D356" s="1"/>
      <c r="E356" s="69"/>
      <c r="F356" s="69"/>
      <c r="G356" s="4"/>
      <c r="H356" s="2"/>
      <c r="I356" s="2"/>
      <c r="J356" s="38"/>
      <c r="K356" s="2"/>
      <c r="L356" s="2"/>
      <c r="M356" s="2"/>
    </row>
    <row r="357" spans="3:13" x14ac:dyDescent="0.3">
      <c r="C357" s="140"/>
      <c r="D357" s="1"/>
      <c r="E357" s="69"/>
      <c r="F357" s="69"/>
      <c r="G357" s="4"/>
      <c r="H357" s="2"/>
      <c r="I357" s="2"/>
      <c r="J357" s="38"/>
      <c r="K357" s="2"/>
      <c r="L357" s="2"/>
      <c r="M357" s="2"/>
    </row>
    <row r="358" spans="3:13" x14ac:dyDescent="0.3">
      <c r="C358" s="140"/>
      <c r="D358" s="1"/>
      <c r="E358" s="69"/>
      <c r="F358" s="69"/>
      <c r="G358" s="4"/>
      <c r="H358" s="2"/>
      <c r="I358" s="2"/>
      <c r="J358" s="38"/>
      <c r="K358" s="2"/>
      <c r="L358" s="2"/>
      <c r="M358" s="2"/>
    </row>
    <row r="359" spans="3:13" x14ac:dyDescent="0.3">
      <c r="C359" s="140"/>
      <c r="D359" s="1"/>
      <c r="E359" s="69"/>
      <c r="F359" s="69"/>
      <c r="G359" s="4"/>
      <c r="H359" s="2"/>
      <c r="I359" s="2"/>
      <c r="J359" s="38"/>
      <c r="K359" s="2"/>
      <c r="L359" s="2"/>
      <c r="M359" s="2"/>
    </row>
    <row r="360" spans="3:13" x14ac:dyDescent="0.3">
      <c r="C360" s="140"/>
      <c r="D360" s="1"/>
      <c r="E360" s="69"/>
      <c r="F360" s="69"/>
      <c r="G360" s="4"/>
      <c r="H360" s="2"/>
      <c r="I360" s="2"/>
      <c r="J360" s="38"/>
      <c r="K360" s="2"/>
      <c r="L360" s="2"/>
      <c r="M360" s="2"/>
    </row>
    <row r="361" spans="3:13" x14ac:dyDescent="0.3">
      <c r="C361" s="140"/>
      <c r="D361" s="1"/>
      <c r="E361" s="69"/>
      <c r="F361" s="69"/>
      <c r="G361" s="4"/>
      <c r="H361" s="2"/>
      <c r="I361" s="2"/>
      <c r="J361" s="38"/>
      <c r="K361" s="2"/>
      <c r="L361" s="2"/>
      <c r="M361" s="2"/>
    </row>
    <row r="362" spans="3:13" x14ac:dyDescent="0.3">
      <c r="C362" s="140"/>
      <c r="D362" s="1"/>
      <c r="E362" s="69"/>
      <c r="F362" s="69"/>
      <c r="G362" s="4"/>
      <c r="H362" s="2"/>
      <c r="I362" s="2"/>
      <c r="J362" s="38"/>
      <c r="K362" s="2"/>
      <c r="L362" s="2"/>
      <c r="M362" s="2"/>
    </row>
    <row r="363" spans="3:13" x14ac:dyDescent="0.3">
      <c r="C363" s="140"/>
      <c r="D363" s="1"/>
      <c r="E363" s="69"/>
      <c r="F363" s="69"/>
      <c r="G363" s="4"/>
      <c r="H363" s="2"/>
      <c r="I363" s="2"/>
      <c r="J363" s="38"/>
      <c r="K363" s="2"/>
      <c r="L363" s="2"/>
      <c r="M363" s="2"/>
    </row>
    <row r="364" spans="3:13" x14ac:dyDescent="0.3">
      <c r="C364" s="140"/>
      <c r="D364" s="1"/>
      <c r="E364" s="69"/>
      <c r="F364" s="69"/>
      <c r="G364" s="4"/>
      <c r="H364" s="2"/>
      <c r="I364" s="2"/>
      <c r="J364" s="38"/>
      <c r="K364" s="2"/>
      <c r="L364" s="2"/>
      <c r="M364" s="2"/>
    </row>
    <row r="365" spans="3:13" x14ac:dyDescent="0.3">
      <c r="C365" s="140"/>
      <c r="D365" s="1"/>
      <c r="E365" s="69"/>
      <c r="F365" s="69"/>
      <c r="G365" s="4"/>
      <c r="H365" s="2"/>
      <c r="I365" s="2"/>
      <c r="J365" s="38"/>
      <c r="K365" s="2"/>
      <c r="L365" s="2"/>
      <c r="M365" s="2"/>
    </row>
    <row r="366" spans="3:13" x14ac:dyDescent="0.3">
      <c r="C366" s="140"/>
      <c r="D366" s="1"/>
      <c r="E366" s="69"/>
      <c r="F366" s="69"/>
      <c r="G366" s="4"/>
      <c r="H366" s="2"/>
      <c r="I366" s="2"/>
      <c r="J366" s="38"/>
      <c r="K366" s="2"/>
      <c r="L366" s="2"/>
      <c r="M366" s="2"/>
    </row>
    <row r="367" spans="3:13" x14ac:dyDescent="0.3">
      <c r="C367" s="140"/>
      <c r="D367" s="1"/>
      <c r="E367" s="69"/>
      <c r="F367" s="69"/>
      <c r="G367" s="4"/>
      <c r="H367" s="2"/>
      <c r="I367" s="2"/>
      <c r="J367" s="38"/>
      <c r="K367" s="2"/>
      <c r="L367" s="2"/>
      <c r="M367" s="2"/>
    </row>
    <row r="368" spans="3:13" x14ac:dyDescent="0.3">
      <c r="C368" s="140"/>
      <c r="D368" s="1"/>
      <c r="E368" s="69"/>
      <c r="F368" s="69"/>
      <c r="G368" s="4"/>
      <c r="H368" s="2"/>
      <c r="I368" s="2"/>
      <c r="J368" s="38"/>
      <c r="K368" s="2"/>
      <c r="L368" s="2"/>
      <c r="M368" s="2"/>
    </row>
    <row r="369" spans="3:13" x14ac:dyDescent="0.3">
      <c r="C369" s="140"/>
      <c r="D369" s="1"/>
      <c r="E369" s="69"/>
      <c r="F369" s="69"/>
      <c r="G369" s="4"/>
      <c r="H369" s="2"/>
      <c r="I369" s="2"/>
      <c r="J369" s="38"/>
      <c r="K369" s="2"/>
      <c r="L369" s="2"/>
      <c r="M369" s="2"/>
    </row>
    <row r="370" spans="3:13" x14ac:dyDescent="0.3">
      <c r="C370" s="140"/>
      <c r="D370" s="1"/>
      <c r="E370" s="69"/>
      <c r="F370" s="69"/>
      <c r="G370" s="4"/>
      <c r="H370" s="2"/>
      <c r="I370" s="2"/>
      <c r="J370" s="38"/>
      <c r="K370" s="2"/>
      <c r="L370" s="2"/>
      <c r="M370" s="2"/>
    </row>
    <row r="371" spans="3:13" x14ac:dyDescent="0.3">
      <c r="C371" s="140"/>
      <c r="D371" s="1"/>
      <c r="E371" s="69"/>
      <c r="F371" s="69"/>
      <c r="G371" s="4"/>
      <c r="H371" s="2"/>
      <c r="I371" s="2"/>
      <c r="J371" s="38"/>
      <c r="K371" s="2"/>
      <c r="L371" s="2"/>
      <c r="M371" s="2"/>
    </row>
    <row r="372" spans="3:13" x14ac:dyDescent="0.3">
      <c r="C372" s="140"/>
      <c r="D372" s="1"/>
      <c r="E372" s="69"/>
      <c r="F372" s="69"/>
      <c r="G372" s="4"/>
      <c r="H372" s="2"/>
      <c r="I372" s="2"/>
      <c r="J372" s="38"/>
      <c r="K372" s="2"/>
      <c r="L372" s="2"/>
      <c r="M372" s="2"/>
    </row>
    <row r="373" spans="3:13" x14ac:dyDescent="0.3">
      <c r="C373" s="140"/>
      <c r="D373" s="1"/>
      <c r="E373" s="69"/>
      <c r="F373" s="69"/>
      <c r="G373" s="4"/>
      <c r="H373" s="2"/>
      <c r="I373" s="2"/>
      <c r="J373" s="38"/>
      <c r="K373" s="2"/>
      <c r="L373" s="2"/>
      <c r="M373" s="2"/>
    </row>
    <row r="374" spans="3:13" x14ac:dyDescent="0.3">
      <c r="C374" s="140"/>
      <c r="D374" s="1"/>
      <c r="E374" s="69"/>
      <c r="F374" s="69"/>
      <c r="G374" s="4"/>
      <c r="H374" s="2"/>
      <c r="I374" s="2"/>
      <c r="J374" s="38"/>
      <c r="K374" s="2"/>
      <c r="L374" s="2"/>
      <c r="M374" s="2"/>
    </row>
    <row r="375" spans="3:13" x14ac:dyDescent="0.3">
      <c r="C375" s="140"/>
      <c r="D375" s="1"/>
      <c r="E375" s="69"/>
      <c r="F375" s="69"/>
      <c r="G375" s="4"/>
      <c r="H375" s="2"/>
      <c r="I375" s="2"/>
      <c r="J375" s="38"/>
      <c r="K375" s="2"/>
      <c r="L375" s="2"/>
      <c r="M375" s="2"/>
    </row>
    <row r="376" spans="3:13" x14ac:dyDescent="0.3">
      <c r="C376" s="140"/>
      <c r="D376" s="1"/>
      <c r="E376" s="69"/>
      <c r="F376" s="69"/>
      <c r="G376" s="4"/>
      <c r="H376" s="2"/>
      <c r="I376" s="2"/>
      <c r="J376" s="38"/>
      <c r="K376" s="2"/>
      <c r="L376" s="2"/>
      <c r="M376" s="2"/>
    </row>
    <row r="377" spans="3:13" x14ac:dyDescent="0.3">
      <c r="C377" s="140"/>
      <c r="D377" s="1"/>
      <c r="E377" s="69"/>
      <c r="F377" s="69"/>
      <c r="G377" s="4"/>
      <c r="H377" s="2"/>
      <c r="I377" s="2"/>
      <c r="J377" s="38"/>
      <c r="K377" s="2"/>
      <c r="L377" s="2"/>
      <c r="M377" s="2"/>
    </row>
    <row r="378" spans="3:13" x14ac:dyDescent="0.3">
      <c r="C378" s="140"/>
      <c r="D378" s="1"/>
      <c r="E378" s="69"/>
      <c r="F378" s="69"/>
      <c r="G378" s="4"/>
      <c r="H378" s="2"/>
      <c r="I378" s="2"/>
      <c r="J378" s="38"/>
      <c r="K378" s="2"/>
      <c r="L378" s="2"/>
      <c r="M378" s="2"/>
    </row>
    <row r="379" spans="3:13" x14ac:dyDescent="0.3">
      <c r="C379" s="140"/>
      <c r="D379" s="1"/>
      <c r="E379" s="69"/>
      <c r="F379" s="69"/>
      <c r="G379" s="4"/>
      <c r="H379" s="2"/>
      <c r="I379" s="2"/>
      <c r="J379" s="38"/>
      <c r="K379" s="2"/>
      <c r="L379" s="2"/>
      <c r="M379" s="2"/>
    </row>
    <row r="380" spans="3:13" x14ac:dyDescent="0.3">
      <c r="C380" s="140"/>
      <c r="D380" s="1"/>
      <c r="E380" s="69"/>
      <c r="F380" s="69"/>
      <c r="G380" s="4"/>
      <c r="H380" s="2"/>
      <c r="I380" s="2"/>
      <c r="J380" s="38"/>
      <c r="K380" s="2"/>
      <c r="L380" s="2"/>
      <c r="M380" s="2"/>
    </row>
    <row r="381" spans="3:13" x14ac:dyDescent="0.3">
      <c r="C381" s="140"/>
      <c r="D381" s="1"/>
      <c r="E381" s="69"/>
      <c r="F381" s="69"/>
      <c r="G381" s="4"/>
      <c r="H381" s="2"/>
      <c r="I381" s="2"/>
      <c r="J381" s="38"/>
      <c r="K381" s="2"/>
      <c r="L381" s="2"/>
      <c r="M381" s="2"/>
    </row>
  </sheetData>
  <sheetProtection algorithmName="SHA-512" hashValue="r/fqBy7fkAWEovwIVwb5uYKFGgOmp0G8z1qwTu/xMMlwd8VmpLZ0T/WwkqBecu83SPN+5dde6Crolhzy8o4uKA==" saltValue="yQYVQ/Vu0ZPMQ5m3AEAi7Q==" spinCount="100000" sheet="1" objects="1" scenarios="1"/>
  <mergeCells count="215">
    <mergeCell ref="C2:W2"/>
    <mergeCell ref="C205:W206"/>
    <mergeCell ref="BB26:BF26"/>
    <mergeCell ref="BB2:BF2"/>
    <mergeCell ref="N16:V16"/>
    <mergeCell ref="N17:V17"/>
    <mergeCell ref="N4:V4"/>
    <mergeCell ref="N5:V5"/>
    <mergeCell ref="N6:V6"/>
    <mergeCell ref="N7:V7"/>
    <mergeCell ref="N8:V8"/>
    <mergeCell ref="N9:V9"/>
    <mergeCell ref="BB22:BF22"/>
    <mergeCell ref="N18:V18"/>
    <mergeCell ref="N19:V19"/>
    <mergeCell ref="N21:V21"/>
    <mergeCell ref="N22:V22"/>
    <mergeCell ref="N23:V23"/>
    <mergeCell ref="N24:V24"/>
    <mergeCell ref="N25:V25"/>
    <mergeCell ref="N26:V26"/>
    <mergeCell ref="N3:V3"/>
    <mergeCell ref="BB10:BF10"/>
    <mergeCell ref="BB14:BF14"/>
    <mergeCell ref="BB18:BF18"/>
    <mergeCell ref="W3:W204"/>
    <mergeCell ref="N204:V204"/>
    <mergeCell ref="N10:V10"/>
    <mergeCell ref="N11:V11"/>
    <mergeCell ref="N12:V12"/>
    <mergeCell ref="N13:V13"/>
    <mergeCell ref="N14:V14"/>
    <mergeCell ref="N15:V15"/>
    <mergeCell ref="N64:V64"/>
    <mergeCell ref="N29:V29"/>
    <mergeCell ref="N30:V30"/>
    <mergeCell ref="N31:V31"/>
    <mergeCell ref="N32:V32"/>
    <mergeCell ref="N33:V33"/>
    <mergeCell ref="N34:V34"/>
    <mergeCell ref="N35:V35"/>
    <mergeCell ref="N58:V58"/>
    <mergeCell ref="N59:V59"/>
    <mergeCell ref="N60:V60"/>
    <mergeCell ref="N61:V61"/>
    <mergeCell ref="N62:V62"/>
    <mergeCell ref="N42:V42"/>
    <mergeCell ref="N43:V43"/>
    <mergeCell ref="N44:V44"/>
    <mergeCell ref="N20:V20"/>
    <mergeCell ref="N36:V36"/>
    <mergeCell ref="N37:V37"/>
    <mergeCell ref="N38:V38"/>
    <mergeCell ref="N39:V39"/>
    <mergeCell ref="N40:V40"/>
    <mergeCell ref="N41:V41"/>
    <mergeCell ref="N27:V27"/>
    <mergeCell ref="N28:V28"/>
    <mergeCell ref="N45:V45"/>
    <mergeCell ref="N46:V46"/>
    <mergeCell ref="N47:V47"/>
    <mergeCell ref="N48:V48"/>
    <mergeCell ref="N49:V49"/>
    <mergeCell ref="N50:V50"/>
    <mergeCell ref="N51:V51"/>
    <mergeCell ref="N85:V85"/>
    <mergeCell ref="N63:V63"/>
    <mergeCell ref="N52:V52"/>
    <mergeCell ref="N53:V53"/>
    <mergeCell ref="N54:V54"/>
    <mergeCell ref="N55:V55"/>
    <mergeCell ref="N56:V56"/>
    <mergeCell ref="N57:V57"/>
    <mergeCell ref="N73:V73"/>
    <mergeCell ref="N74:V74"/>
    <mergeCell ref="N86:V86"/>
    <mergeCell ref="N65:V65"/>
    <mergeCell ref="N66:V66"/>
    <mergeCell ref="N67:V67"/>
    <mergeCell ref="N68:V68"/>
    <mergeCell ref="N69:V69"/>
    <mergeCell ref="N70:V70"/>
    <mergeCell ref="N71:V71"/>
    <mergeCell ref="N72:V72"/>
    <mergeCell ref="N75:V75"/>
    <mergeCell ref="N76:V76"/>
    <mergeCell ref="N77:V77"/>
    <mergeCell ref="N78:V78"/>
    <mergeCell ref="N79:V79"/>
    <mergeCell ref="N80:V80"/>
    <mergeCell ref="N81:V81"/>
    <mergeCell ref="N82:V82"/>
    <mergeCell ref="N83:V83"/>
    <mergeCell ref="N84:V84"/>
    <mergeCell ref="N102:V102"/>
    <mergeCell ref="N104:V104"/>
    <mergeCell ref="N93:V93"/>
    <mergeCell ref="N94:V94"/>
    <mergeCell ref="N95:V95"/>
    <mergeCell ref="N96:V96"/>
    <mergeCell ref="N97:V97"/>
    <mergeCell ref="N98:V98"/>
    <mergeCell ref="N87:V87"/>
    <mergeCell ref="N88:V88"/>
    <mergeCell ref="N89:V89"/>
    <mergeCell ref="N90:V90"/>
    <mergeCell ref="N91:V91"/>
    <mergeCell ref="N92:V92"/>
    <mergeCell ref="N123:V123"/>
    <mergeCell ref="N124:V124"/>
    <mergeCell ref="N125:V125"/>
    <mergeCell ref="N126:V126"/>
    <mergeCell ref="N127:V127"/>
    <mergeCell ref="N118:V118"/>
    <mergeCell ref="N119:V119"/>
    <mergeCell ref="N120:V120"/>
    <mergeCell ref="N121:V121"/>
    <mergeCell ref="N129:V129"/>
    <mergeCell ref="N130:V130"/>
    <mergeCell ref="N131:V131"/>
    <mergeCell ref="N132:V132"/>
    <mergeCell ref="N133:V133"/>
    <mergeCell ref="N105:V105"/>
    <mergeCell ref="N99:V99"/>
    <mergeCell ref="N100:V100"/>
    <mergeCell ref="N101:V101"/>
    <mergeCell ref="N103:V103"/>
    <mergeCell ref="N114:V114"/>
    <mergeCell ref="N115:V115"/>
    <mergeCell ref="N116:V116"/>
    <mergeCell ref="N117:V117"/>
    <mergeCell ref="N128:V128"/>
    <mergeCell ref="N106:V106"/>
    <mergeCell ref="N107:V107"/>
    <mergeCell ref="N108:V108"/>
    <mergeCell ref="N109:V109"/>
    <mergeCell ref="N110:V110"/>
    <mergeCell ref="N111:V111"/>
    <mergeCell ref="N112:V112"/>
    <mergeCell ref="N113:V113"/>
    <mergeCell ref="N122:V122"/>
    <mergeCell ref="N141:V141"/>
    <mergeCell ref="N142:V142"/>
    <mergeCell ref="N143:V143"/>
    <mergeCell ref="N144:V144"/>
    <mergeCell ref="N145:V145"/>
    <mergeCell ref="N140:V140"/>
    <mergeCell ref="N134:V134"/>
    <mergeCell ref="N135:V135"/>
    <mergeCell ref="N136:V136"/>
    <mergeCell ref="N137:V137"/>
    <mergeCell ref="N138:V138"/>
    <mergeCell ref="N139:V139"/>
    <mergeCell ref="N163:V163"/>
    <mergeCell ref="N164:V164"/>
    <mergeCell ref="N158:V158"/>
    <mergeCell ref="N159:V159"/>
    <mergeCell ref="N148:V148"/>
    <mergeCell ref="N149:V149"/>
    <mergeCell ref="N150:V150"/>
    <mergeCell ref="N151:V151"/>
    <mergeCell ref="N155:V155"/>
    <mergeCell ref="N154:V154"/>
    <mergeCell ref="N156:V156"/>
    <mergeCell ref="N157:V157"/>
    <mergeCell ref="N203:V203"/>
    <mergeCell ref="N199:V199"/>
    <mergeCell ref="N200:V200"/>
    <mergeCell ref="N201:V201"/>
    <mergeCell ref="N191:V191"/>
    <mergeCell ref="N198:V198"/>
    <mergeCell ref="N185:V185"/>
    <mergeCell ref="N186:V186"/>
    <mergeCell ref="N187:V187"/>
    <mergeCell ref="N202:V202"/>
    <mergeCell ref="N196:V196"/>
    <mergeCell ref="N197:V197"/>
    <mergeCell ref="N188:V188"/>
    <mergeCell ref="N189:V189"/>
    <mergeCell ref="N190:V190"/>
    <mergeCell ref="N192:V192"/>
    <mergeCell ref="N193:V193"/>
    <mergeCell ref="N194:V194"/>
    <mergeCell ref="N195:V195"/>
    <mergeCell ref="N170:V170"/>
    <mergeCell ref="N171:V171"/>
    <mergeCell ref="N172:V172"/>
    <mergeCell ref="N173:V173"/>
    <mergeCell ref="N178:V178"/>
    <mergeCell ref="N179:V179"/>
    <mergeCell ref="N184:V184"/>
    <mergeCell ref="BI2:BP2"/>
    <mergeCell ref="BJ7:BK7"/>
    <mergeCell ref="BJ8:BK8"/>
    <mergeCell ref="N183:V183"/>
    <mergeCell ref="N174:V174"/>
    <mergeCell ref="N175:V175"/>
    <mergeCell ref="N176:V176"/>
    <mergeCell ref="N177:V177"/>
    <mergeCell ref="N167:V167"/>
    <mergeCell ref="N168:V168"/>
    <mergeCell ref="N169:V169"/>
    <mergeCell ref="N146:V146"/>
    <mergeCell ref="N147:V147"/>
    <mergeCell ref="N152:V152"/>
    <mergeCell ref="N153:V153"/>
    <mergeCell ref="N160:V160"/>
    <mergeCell ref="N161:V161"/>
    <mergeCell ref="BB6:BF6"/>
    <mergeCell ref="N165:V165"/>
    <mergeCell ref="N166:V166"/>
    <mergeCell ref="N180:V180"/>
    <mergeCell ref="N181:V181"/>
    <mergeCell ref="N182:V182"/>
    <mergeCell ref="N162:V162"/>
  </mergeCells>
  <conditionalFormatting sqref="K4:K204">
    <cfRule type="cellIs" dxfId="1521" priority="20" operator="equal">
      <formula>"OT -"</formula>
    </cfRule>
    <cfRule type="cellIs" dxfId="1520" priority="21" operator="equal">
      <formula>"RF"</formula>
    </cfRule>
    <cfRule type="cellIs" dxfId="1519" priority="22" operator="equal">
      <formula>"SL"</formula>
    </cfRule>
    <cfRule type="cellIs" dxfId="1518" priority="23" operator="equal">
      <formula>"OT +"</formula>
    </cfRule>
    <cfRule type="cellIs" dxfId="1517" priority="24" operator="equal">
      <formula>"LS"</formula>
    </cfRule>
    <cfRule type="cellIs" dxfId="1516" priority="25" operator="equal">
      <formula>"PS"</formula>
    </cfRule>
    <cfRule type="cellIs" dxfId="1515" priority="26" operator="equal">
      <formula>"SL"</formula>
    </cfRule>
    <cfRule type="cellIs" dxfId="1514" priority="27" operator="equal">
      <formula>"TP"</formula>
    </cfRule>
  </conditionalFormatting>
  <conditionalFormatting sqref="L4:L204">
    <cfRule type="cellIs" dxfId="1513" priority="15" operator="equal">
      <formula>"RNG"</formula>
    </cfRule>
    <cfRule type="cellIs" dxfId="1512" priority="16" operator="equal">
      <formula>"Keep Went"</formula>
    </cfRule>
    <cfRule type="cellIs" dxfId="1511" priority="17" operator="equal">
      <formula>"DC"</formula>
    </cfRule>
    <cfRule type="cellIs" dxfId="1510" priority="18" operator="equal">
      <formula>"TC"</formula>
    </cfRule>
    <cfRule type="cellIs" dxfId="1509" priority="19" operator="equal">
      <formula>"SF"</formula>
    </cfRule>
  </conditionalFormatting>
  <conditionalFormatting sqref="AY4 AY6 AY8 AY10 AY12">
    <cfRule type="cellIs" dxfId="1508" priority="6" operator="equal">
      <formula>0</formula>
    </cfRule>
    <cfRule type="cellIs" dxfId="1507" priority="7" operator="lessThan">
      <formula>0</formula>
    </cfRule>
    <cfRule type="cellIs" dxfId="1506" priority="8" operator="greaterThan">
      <formula>0</formula>
    </cfRule>
  </conditionalFormatting>
  <conditionalFormatting sqref="AY14">
    <cfRule type="cellIs" dxfId="1505" priority="3" operator="equal">
      <formula>0</formula>
    </cfRule>
    <cfRule type="cellIs" dxfId="1504" priority="4" operator="lessThan">
      <formula>0</formula>
    </cfRule>
    <cfRule type="cellIs" dxfId="1503" priority="5" operator="greaterThan">
      <formula>0</formula>
    </cfRule>
  </conditionalFormatting>
  <conditionalFormatting sqref="M4:M204">
    <cfRule type="cellIs" dxfId="1502" priority="1" operator="lessThan">
      <formula>0</formula>
    </cfRule>
    <cfRule type="cellIs" dxfId="1501" priority="2" operator="greaterThan">
      <formula>0</formula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>
          <x14:formula1>
            <xm:f>Data!$C$5:$C$9</xm:f>
          </x14:formula1>
          <xm:sqref>D4:D204</xm:sqref>
        </x14:dataValidation>
        <x14:dataValidation type="list" allowBlank="1" showInputMessage="1" showErrorMessage="1">
          <x14:formula1>
            <xm:f>Data!$K$5:$K$11</xm:f>
          </x14:formula1>
          <xm:sqref>K4:K204</xm:sqref>
        </x14:dataValidation>
        <x14:dataValidation type="list" allowBlank="1" showInputMessage="1" showErrorMessage="1">
          <x14:formula1>
            <xm:f>Data!$L$5:$L$9</xm:f>
          </x14:formula1>
          <xm:sqref>L4:L204</xm:sqref>
        </x14:dataValidation>
        <x14:dataValidation type="list" allowBlank="1" showInputMessage="1" showErrorMessage="1">
          <x14:formula1>
            <xm:f>Data!$G$5:$G$15</xm:f>
          </x14:formula1>
          <xm:sqref>I4:I204</xm:sqref>
        </x14:dataValidation>
        <x14:dataValidation type="list" allowBlank="1" showInputMessage="1" showErrorMessage="1">
          <x14:formula1>
            <xm:f>Data!$N$4:$N$15</xm:f>
          </x14:formula1>
          <xm:sqref>F4:F204</xm:sqref>
        </x14:dataValidation>
        <x14:dataValidation type="list" allowBlank="1" showInputMessage="1" showErrorMessage="1">
          <x14:formula1>
            <xm:f>Data!$O$4:$O$33</xm:f>
          </x14:formula1>
          <xm:sqref>H4:H204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120"/>
  <sheetViews>
    <sheetView zoomScale="70" zoomScaleNormal="70" workbookViewId="0">
      <selection activeCell="U22" sqref="U22"/>
    </sheetView>
  </sheetViews>
  <sheetFormatPr defaultRowHeight="15" x14ac:dyDescent="0.25"/>
  <cols>
    <col min="1" max="1" width="9.140625" style="53"/>
    <col min="2" max="2" width="16.140625" style="53" customWidth="1"/>
    <col min="3" max="3" width="12" style="53" customWidth="1"/>
    <col min="4" max="4" width="8.28515625" style="53" customWidth="1"/>
    <col min="5" max="5" width="8.140625" style="53" customWidth="1"/>
    <col min="6" max="6" width="8.42578125" style="53" customWidth="1"/>
    <col min="7" max="7" width="9.140625" style="53" customWidth="1"/>
    <col min="8" max="8" width="14.42578125" style="53" customWidth="1"/>
    <col min="9" max="9" width="11.5703125" style="53" customWidth="1"/>
    <col min="10" max="10" width="10.140625" style="53" customWidth="1"/>
    <col min="11" max="11" width="8.28515625" style="53" customWidth="1"/>
    <col min="12" max="12" width="8.5703125" style="53" customWidth="1"/>
    <col min="13" max="13" width="9.140625" style="53"/>
    <col min="14" max="14" width="14.42578125" style="53" customWidth="1"/>
    <col min="15" max="15" width="12.140625" style="53" customWidth="1"/>
    <col min="16" max="16" width="9.140625" style="53"/>
    <col min="17" max="17" width="8.42578125" style="53" customWidth="1"/>
    <col min="18" max="18" width="8" style="53" customWidth="1"/>
    <col min="19" max="19" width="9.140625" style="53"/>
    <col min="20" max="20" width="12.85546875" style="53" customWidth="1"/>
    <col min="21" max="21" width="12.7109375" style="53" customWidth="1"/>
    <col min="22" max="22" width="14.140625" style="53" customWidth="1"/>
    <col min="23" max="23" width="10.7109375" style="53" customWidth="1"/>
    <col min="24" max="24" width="15" style="53" customWidth="1"/>
    <col min="25" max="25" width="5.5703125" style="53" customWidth="1"/>
    <col min="26" max="26" width="5.85546875" style="53" customWidth="1"/>
    <col min="27" max="27" width="9.42578125" style="53" customWidth="1"/>
    <col min="28" max="28" width="9.28515625" style="53" customWidth="1"/>
    <col min="29" max="29" width="6" style="53" customWidth="1"/>
    <col min="30" max="31" width="9.28515625" style="53" customWidth="1"/>
    <col min="32" max="32" width="5.85546875" style="53" customWidth="1"/>
    <col min="33" max="33" width="9.42578125" style="53" customWidth="1"/>
    <col min="34" max="34" width="9.140625" style="53" customWidth="1"/>
    <col min="35" max="35" width="5.85546875" style="53" customWidth="1"/>
    <col min="36" max="36" width="9.5703125" style="53" customWidth="1"/>
    <col min="37" max="37" width="9.140625" style="53"/>
    <col min="38" max="38" width="5.85546875" style="53" customWidth="1"/>
    <col min="39" max="39" width="10.28515625" style="53" customWidth="1"/>
    <col min="40" max="40" width="9.140625" style="53"/>
    <col min="41" max="41" width="5.42578125" style="53" customWidth="1"/>
    <col min="42" max="42" width="9.42578125" style="53" customWidth="1"/>
    <col min="43" max="43" width="9.140625" style="53"/>
    <col min="44" max="44" width="5.28515625" style="53" customWidth="1"/>
    <col min="45" max="45" width="10" style="53" customWidth="1"/>
    <col min="46" max="46" width="9.140625" style="53"/>
    <col min="47" max="47" width="5.42578125" style="53" customWidth="1"/>
    <col min="48" max="48" width="10" style="53" customWidth="1"/>
    <col min="49" max="49" width="9.140625" style="53"/>
    <col min="50" max="50" width="5.42578125" style="53" customWidth="1"/>
    <col min="51" max="51" width="9.85546875" style="53" customWidth="1"/>
    <col min="52" max="52" width="9.7109375" style="53" customWidth="1"/>
    <col min="53" max="53" width="5.140625" style="53" customWidth="1"/>
    <col min="54" max="54" width="9.42578125" style="53" customWidth="1"/>
    <col min="55" max="55" width="9.140625" style="53"/>
    <col min="56" max="56" width="4.7109375" style="53" customWidth="1"/>
    <col min="57" max="57" width="9.5703125" style="53" customWidth="1"/>
    <col min="58" max="58" width="8.5703125" style="53" customWidth="1"/>
    <col min="59" max="16384" width="9.140625" style="53"/>
  </cols>
  <sheetData>
    <row r="1" spans="2:58" ht="12" customHeight="1" x14ac:dyDescent="0.25"/>
    <row r="2" spans="2:58" ht="18.75" customHeight="1" x14ac:dyDescent="0.25">
      <c r="B2" s="267" t="s">
        <v>6</v>
      </c>
      <c r="C2" s="268"/>
      <c r="D2" s="268"/>
      <c r="E2" s="268"/>
      <c r="F2" s="269"/>
      <c r="H2" s="267" t="s">
        <v>7</v>
      </c>
      <c r="I2" s="268"/>
      <c r="J2" s="268"/>
      <c r="K2" s="268"/>
      <c r="L2" s="269"/>
      <c r="N2" s="257" t="s">
        <v>9</v>
      </c>
      <c r="O2" s="258"/>
      <c r="P2" s="258"/>
      <c r="Q2" s="258"/>
      <c r="R2" s="259"/>
      <c r="T2" s="160" t="s">
        <v>47</v>
      </c>
      <c r="U2" s="160" t="s">
        <v>48</v>
      </c>
      <c r="V2" s="161" t="s">
        <v>116</v>
      </c>
      <c r="Y2" s="273" t="s">
        <v>68</v>
      </c>
      <c r="Z2" s="270" t="s">
        <v>6</v>
      </c>
      <c r="AA2" s="54" t="s">
        <v>27</v>
      </c>
      <c r="AB2" s="165">
        <f>COUNTIFS(JOURNAL!F:F,"1",JOURNAL!J:J,"TCDP",JOURNAL!O:O,"TP")</f>
        <v>0</v>
      </c>
      <c r="AC2" s="270" t="s">
        <v>7</v>
      </c>
      <c r="AD2" s="54" t="s">
        <v>27</v>
      </c>
      <c r="AE2" s="165">
        <f>COUNTIFS(JOURNAL!F:F,"1",JOURNAL!J:J,"OCDP",JOURNAL!O:O,"TP")</f>
        <v>0</v>
      </c>
      <c r="AF2" s="270" t="s">
        <v>9</v>
      </c>
      <c r="AG2" s="54" t="s">
        <v>27</v>
      </c>
      <c r="AH2" s="165">
        <f>COUNTIFS(JOURNAL!F:F,"1",JOURNAL!J:J,"TCDL",JOURNAL!O:O,"TP")</f>
        <v>0</v>
      </c>
      <c r="AI2" s="270" t="s">
        <v>10</v>
      </c>
      <c r="AJ2" s="54" t="s">
        <v>27</v>
      </c>
      <c r="AK2" s="165">
        <f>COUNTIFS(JOURNAL!F:F,"1",JOURNAL!J:J,"OCDL",JOURNAL!O:O,"TP")</f>
        <v>0</v>
      </c>
      <c r="AL2" s="270" t="s">
        <v>8</v>
      </c>
      <c r="AM2" s="54" t="s">
        <v>27</v>
      </c>
      <c r="AN2" s="165">
        <f>COUNTIFS(JOURNAL!F:F,"1",JOURNAL!J:J,"TCDW",JOURNAL!O:O,"TP")</f>
        <v>0</v>
      </c>
      <c r="AO2" s="270" t="s">
        <v>11</v>
      </c>
      <c r="AP2" s="54" t="s">
        <v>27</v>
      </c>
      <c r="AQ2" s="165">
        <f>COUNTIFS(JOURNAL!F:F,"1",JOURNAL!J:J,"OCDW",JOURNAL!O:O,"TP")</f>
        <v>0</v>
      </c>
      <c r="AR2" s="270" t="s">
        <v>12</v>
      </c>
      <c r="AS2" s="54" t="s">
        <v>27</v>
      </c>
      <c r="AT2" s="165">
        <f>COUNTIFS(JOURNAL!F:F,"1",JOURNAL!J:J,"TCDC",JOURNAL!O:O,"TP")</f>
        <v>0</v>
      </c>
      <c r="AU2" s="270" t="s">
        <v>13</v>
      </c>
      <c r="AV2" s="54" t="s">
        <v>27</v>
      </c>
      <c r="AW2" s="165">
        <f>COUNTIFS(JOURNAL!F:F,"1",JOURNAL!J:J,"OCDC",JOURNAL!O:O,"TP")</f>
        <v>0</v>
      </c>
      <c r="AX2" s="270" t="s">
        <v>14</v>
      </c>
      <c r="AY2" s="54" t="s">
        <v>27</v>
      </c>
      <c r="AZ2" s="165">
        <f>COUNTIFS(JOURNAL!F:F,"1",JOURNAL!J:J,"TCP",JOURNAL!O:O,"TP")</f>
        <v>0</v>
      </c>
      <c r="BA2" s="270" t="s">
        <v>15</v>
      </c>
      <c r="BB2" s="54" t="s">
        <v>27</v>
      </c>
      <c r="BC2" s="165">
        <f>COUNTIFS(JOURNAL!F:F,"1",JOURNAL!J:J,"OCP",JOURNAL!O:O,"TP")</f>
        <v>0</v>
      </c>
      <c r="BD2" s="270" t="s">
        <v>16</v>
      </c>
      <c r="BE2" s="54" t="s">
        <v>27</v>
      </c>
      <c r="BF2" s="165">
        <f>COUNTIFS(JOURNAL!F:F,"1",JOURNAL!J:J,"RE",JOURNAL!O:O,"TP")</f>
        <v>0</v>
      </c>
    </row>
    <row r="3" spans="2:58" ht="17.25" customHeight="1" x14ac:dyDescent="0.25">
      <c r="B3" s="260" t="s">
        <v>43</v>
      </c>
      <c r="C3" s="262">
        <f>COUNTIF(JOURNAL!J:J,"TCDP")</f>
        <v>0</v>
      </c>
      <c r="D3" s="263"/>
      <c r="E3" s="54" t="s">
        <v>27</v>
      </c>
      <c r="F3" s="48">
        <f>COUNTIFS(JOURNAL!J:J,"TCDP",JOURNAL!O:O,"TP")</f>
        <v>0</v>
      </c>
      <c r="H3" s="260" t="s">
        <v>43</v>
      </c>
      <c r="I3" s="262">
        <f>COUNTIF(JOURNAL!J:J,"OCDP")</f>
        <v>0</v>
      </c>
      <c r="J3" s="263"/>
      <c r="K3" s="54" t="s">
        <v>27</v>
      </c>
      <c r="L3" s="48">
        <f>COUNTIFS(JOURNAL!J:J,"OCDP",JOURNAL!O:O,"TP")</f>
        <v>0</v>
      </c>
      <c r="N3" s="260" t="s">
        <v>43</v>
      </c>
      <c r="O3" s="262">
        <f>COUNTIF(JOURNAL!J:J,"TCDL")</f>
        <v>0</v>
      </c>
      <c r="P3" s="263"/>
      <c r="Q3" s="54" t="s">
        <v>27</v>
      </c>
      <c r="R3" s="48">
        <f>COUNTIFS(JOURNAL!J:J,"TCDL",JOURNAL!O:O,"TP")</f>
        <v>0</v>
      </c>
      <c r="T3" s="159" t="s">
        <v>6</v>
      </c>
      <c r="U3" s="155">
        <f>F10</f>
        <v>0</v>
      </c>
      <c r="V3" s="80">
        <f>SMALL(U3:U13,11)</f>
        <v>0</v>
      </c>
      <c r="Y3" s="273"/>
      <c r="Z3" s="271"/>
      <c r="AA3" s="55" t="s">
        <v>29</v>
      </c>
      <c r="AB3" s="165">
        <f>COUNTIFS(JOURNAL!F:F,"1",JOURNAL!J:J,"TCDP",JOURNAL!O:O,"SL")</f>
        <v>0</v>
      </c>
      <c r="AC3" s="271"/>
      <c r="AD3" s="55" t="s">
        <v>29</v>
      </c>
      <c r="AE3" s="165">
        <f>COUNTIFS(JOURNAL!F:F,"1",JOURNAL!J:J,"OCDP",JOURNAL!O:O,"SL")</f>
        <v>0</v>
      </c>
      <c r="AF3" s="271"/>
      <c r="AG3" s="55" t="s">
        <v>29</v>
      </c>
      <c r="AH3" s="165">
        <f>COUNTIFS(JOURNAL!F:F,"1",JOURNAL!J:J,"TCDL",JOURNAL!O:O,"SL")</f>
        <v>0</v>
      </c>
      <c r="AI3" s="271"/>
      <c r="AJ3" s="55" t="s">
        <v>29</v>
      </c>
      <c r="AK3" s="165">
        <f>COUNTIFS(JOURNAL!F:F,"1",JOURNAL!J:J,"OCDL",JOURNAL!O:O,"SL")</f>
        <v>0</v>
      </c>
      <c r="AL3" s="271"/>
      <c r="AM3" s="55" t="s">
        <v>29</v>
      </c>
      <c r="AN3" s="165">
        <f>COUNTIFS(JOURNAL!F:F,"1",JOURNAL!J:J,"TCDW",JOURNAL!O:O,"SL")</f>
        <v>0</v>
      </c>
      <c r="AO3" s="271"/>
      <c r="AP3" s="55" t="s">
        <v>29</v>
      </c>
      <c r="AQ3" s="165">
        <f>COUNTIFS(JOURNAL!F:F,"1",JOURNAL!J:J,"OCDW",JOURNAL!O:O,"SL")</f>
        <v>0</v>
      </c>
      <c r="AR3" s="271"/>
      <c r="AS3" s="55" t="s">
        <v>29</v>
      </c>
      <c r="AT3" s="165">
        <f>COUNTIFS(JOURNAL!F:F,"1",JOURNAL!J:J,"TCDC",JOURNAL!O:O,"SL")</f>
        <v>0</v>
      </c>
      <c r="AU3" s="271"/>
      <c r="AV3" s="55" t="s">
        <v>29</v>
      </c>
      <c r="AW3" s="165">
        <f>COUNTIFS(JOURNAL!F:F,"1",JOURNAL!J:J,"OCDC",JOURNAL!O:O,"SL")</f>
        <v>0</v>
      </c>
      <c r="AX3" s="271"/>
      <c r="AY3" s="55" t="s">
        <v>29</v>
      </c>
      <c r="AZ3" s="165">
        <f>COUNTIFS(JOURNAL!F:F,"1",JOURNAL!J:J,"TCP",JOURNAL!O:O,"SL")</f>
        <v>0</v>
      </c>
      <c r="BA3" s="271"/>
      <c r="BB3" s="55" t="s">
        <v>29</v>
      </c>
      <c r="BC3" s="165">
        <f>COUNTIFS(JOURNAL!F:F,"1",JOURNAL!J:J,"OCP",JOURNAL!O:O,"SL")</f>
        <v>0</v>
      </c>
      <c r="BD3" s="271"/>
      <c r="BE3" s="55" t="s">
        <v>29</v>
      </c>
      <c r="BF3" s="165">
        <f>COUNTIFS(JOURNAL!F:F,"1",JOURNAL!J:J,"RE",JOURNAL!O:O,"SL")</f>
        <v>0</v>
      </c>
    </row>
    <row r="4" spans="2:58" ht="18.75" customHeight="1" x14ac:dyDescent="0.25">
      <c r="B4" s="261"/>
      <c r="C4" s="264"/>
      <c r="D4" s="265"/>
      <c r="E4" s="55" t="s">
        <v>29</v>
      </c>
      <c r="F4" s="48">
        <f>COUNTIFS(JOURNAL!J:J,"TCDP",JOURNAL!O:O,"SL")</f>
        <v>0</v>
      </c>
      <c r="H4" s="261"/>
      <c r="I4" s="264"/>
      <c r="J4" s="265"/>
      <c r="K4" s="55" t="s">
        <v>29</v>
      </c>
      <c r="L4" s="48">
        <f>COUNTIFS(JOURNAL!J:J,"OCDP",JOURNAL!O:O,"SL")</f>
        <v>0</v>
      </c>
      <c r="N4" s="261"/>
      <c r="O4" s="264"/>
      <c r="P4" s="265"/>
      <c r="Q4" s="55" t="s">
        <v>29</v>
      </c>
      <c r="R4" s="48">
        <f>COUNTIFS(JOURNAL!J:J,"TCDL",JOURNAL!O:O,"SL")</f>
        <v>0</v>
      </c>
      <c r="T4" s="159" t="s">
        <v>7</v>
      </c>
      <c r="U4" s="155">
        <f>L10</f>
        <v>0</v>
      </c>
      <c r="V4" s="81">
        <f>SMALL(U3:U13,10)</f>
        <v>0</v>
      </c>
      <c r="Y4" s="273"/>
      <c r="Z4" s="271"/>
      <c r="AA4" s="56" t="s">
        <v>32</v>
      </c>
      <c r="AB4" s="165">
        <f>COUNTIFS(JOURNAL!F:F,"1",JOURNAL!J:J,"TCDP",JOURNAL!O:O,"RF")</f>
        <v>0</v>
      </c>
      <c r="AC4" s="271"/>
      <c r="AD4" s="56" t="s">
        <v>32</v>
      </c>
      <c r="AE4" s="165">
        <f>COUNTIFS(JOURNAL!F:F,"1",JOURNAL!J:J,"OCDP",JOURNAL!O:O,"RF")</f>
        <v>0</v>
      </c>
      <c r="AF4" s="271"/>
      <c r="AG4" s="56" t="s">
        <v>32</v>
      </c>
      <c r="AH4" s="165">
        <f>COUNTIFS(JOURNAL!F:F,"1",JOURNAL!J:J,"TCDL",JOURNAL!O:O,"RF")</f>
        <v>0</v>
      </c>
      <c r="AI4" s="271"/>
      <c r="AJ4" s="56" t="s">
        <v>32</v>
      </c>
      <c r="AK4" s="165">
        <f>COUNTIFS(JOURNAL!F:F,"1",JOURNAL!J:J,"OCDL",JOURNAL!O:O,"RF")</f>
        <v>0</v>
      </c>
      <c r="AL4" s="271"/>
      <c r="AM4" s="56" t="s">
        <v>32</v>
      </c>
      <c r="AN4" s="165">
        <f>COUNTIFS(JOURNAL!F:F,"1",JOURNAL!J:J,"TCDW",JOURNAL!O:O,"RF")</f>
        <v>0</v>
      </c>
      <c r="AO4" s="271"/>
      <c r="AP4" s="56" t="s">
        <v>32</v>
      </c>
      <c r="AQ4" s="165">
        <f>COUNTIFS(JOURNAL!F:F,"1",JOURNAL!J:J,"OCDW",JOURNAL!O:O,"RF")</f>
        <v>0</v>
      </c>
      <c r="AR4" s="271"/>
      <c r="AS4" s="56" t="s">
        <v>32</v>
      </c>
      <c r="AT4" s="165">
        <f>COUNTIFS(JOURNAL!F:F,"1",JOURNAL!J:J,"TCDC",JOURNAL!O:O,"RF")</f>
        <v>0</v>
      </c>
      <c r="AU4" s="271"/>
      <c r="AV4" s="56" t="s">
        <v>32</v>
      </c>
      <c r="AW4" s="165">
        <f>COUNTIFS(JOURNAL!F:F,"1",JOURNAL!J:J,"OCDC",JOURNAL!O:O,"RF")</f>
        <v>0</v>
      </c>
      <c r="AX4" s="271"/>
      <c r="AY4" s="56" t="s">
        <v>32</v>
      </c>
      <c r="AZ4" s="165">
        <f>COUNTIFS(JOURNAL!F:F,"1",JOURNAL!J:J,"TCP",JOURNAL!O:O,"RF")</f>
        <v>0</v>
      </c>
      <c r="BA4" s="271"/>
      <c r="BB4" s="56" t="s">
        <v>32</v>
      </c>
      <c r="BC4" s="165">
        <f>COUNTIFS(JOURNAL!F:F,"1",JOURNAL!J:J,"OCP",JOURNAL!O:O,"RF")</f>
        <v>0</v>
      </c>
      <c r="BD4" s="271"/>
      <c r="BE4" s="56" t="s">
        <v>32</v>
      </c>
      <c r="BF4" s="165">
        <f>COUNTIFS(JOURNAL!F:F,"1",JOURNAL!J:J,"RE",JOURNAL!O:O,"RF")</f>
        <v>0</v>
      </c>
    </row>
    <row r="5" spans="2:58" ht="17.25" customHeight="1" x14ac:dyDescent="0.25">
      <c r="B5" s="260" t="s">
        <v>45</v>
      </c>
      <c r="C5" s="111" t="s">
        <v>36</v>
      </c>
      <c r="D5" s="48">
        <f>COUNTIFS(JOURNAL!J:J,"TCDP",JOURNAL!P:P,"SF")</f>
        <v>0</v>
      </c>
      <c r="E5" s="56" t="s">
        <v>32</v>
      </c>
      <c r="F5" s="48">
        <f>COUNTIFS(JOURNAL!J:J,"TCDP",JOURNAL!O:O,"RF")</f>
        <v>0</v>
      </c>
      <c r="H5" s="260" t="s">
        <v>45</v>
      </c>
      <c r="I5" s="111" t="s">
        <v>36</v>
      </c>
      <c r="J5" s="48">
        <f>COUNTIFS(JOURNAL!J:J,"OCDP",JOURNAL!P:P,"SF")</f>
        <v>0</v>
      </c>
      <c r="K5" s="56" t="s">
        <v>32</v>
      </c>
      <c r="L5" s="48">
        <f>COUNTIFS(JOURNAL!J:J,"OCDP",JOURNAL!O:O,"RF")</f>
        <v>0</v>
      </c>
      <c r="N5" s="260" t="s">
        <v>45</v>
      </c>
      <c r="O5" s="111" t="s">
        <v>36</v>
      </c>
      <c r="P5" s="48">
        <f>COUNTIFS(JOURNAL!J:J,"TCDL",JOURNAL!P:P,"SF")</f>
        <v>0</v>
      </c>
      <c r="Q5" s="56" t="s">
        <v>32</v>
      </c>
      <c r="R5" s="48">
        <f>COUNTIFS(JOURNAL!J:J,"TCDL",JOURNAL!O:O,"RF")</f>
        <v>0</v>
      </c>
      <c r="T5" s="159" t="s">
        <v>9</v>
      </c>
      <c r="U5" s="155">
        <f>R10</f>
        <v>0</v>
      </c>
      <c r="V5" s="82">
        <f>SMALL(U3:U13,9)</f>
        <v>0</v>
      </c>
      <c r="Y5" s="273"/>
      <c r="Z5" s="271"/>
      <c r="AA5" s="57" t="s">
        <v>30</v>
      </c>
      <c r="AB5" s="165">
        <f>COUNTIFS(JOURNAL!F:F,"1",JOURNAL!J:J,"TCDP",JOURNAL!O:O,"PS")</f>
        <v>0</v>
      </c>
      <c r="AC5" s="271"/>
      <c r="AD5" s="57" t="s">
        <v>30</v>
      </c>
      <c r="AE5" s="165">
        <f>COUNTIFS(JOURNAL!F:F,"1",JOURNAL!J:J,"OCDP",JOURNAL!O:O,"PS")</f>
        <v>0</v>
      </c>
      <c r="AF5" s="271"/>
      <c r="AG5" s="57" t="s">
        <v>30</v>
      </c>
      <c r="AH5" s="165">
        <f>COUNTIFS(JOURNAL!F:F,"1",JOURNAL!J:J,"TCDL",JOURNAL!O:O,"PS")</f>
        <v>0</v>
      </c>
      <c r="AI5" s="271"/>
      <c r="AJ5" s="57" t="s">
        <v>30</v>
      </c>
      <c r="AK5" s="165">
        <f>COUNTIFS(JOURNAL!F:F,"1",JOURNAL!J:J,"OCDL",JOURNAL!O:O,"PS")</f>
        <v>0</v>
      </c>
      <c r="AL5" s="271"/>
      <c r="AM5" s="57" t="s">
        <v>30</v>
      </c>
      <c r="AN5" s="165">
        <f>COUNTIFS(JOURNAL!F:F,"1",JOURNAL!J:J,"TCDW",JOURNAL!O:O,"PS")</f>
        <v>0</v>
      </c>
      <c r="AO5" s="271"/>
      <c r="AP5" s="57" t="s">
        <v>30</v>
      </c>
      <c r="AQ5" s="165">
        <f>COUNTIFS(JOURNAL!F:F,"1",JOURNAL!J:J,"OCDW",JOURNAL!O:O,"PS")</f>
        <v>0</v>
      </c>
      <c r="AR5" s="271"/>
      <c r="AS5" s="57" t="s">
        <v>30</v>
      </c>
      <c r="AT5" s="165">
        <f>COUNTIFS(JOURNAL!F:F,"1",JOURNAL!J:J,"TCDC",JOURNAL!O:O,"PS")</f>
        <v>0</v>
      </c>
      <c r="AU5" s="271"/>
      <c r="AV5" s="57" t="s">
        <v>30</v>
      </c>
      <c r="AW5" s="165">
        <f>COUNTIFS(JOURNAL!F:F,"1",JOURNAL!J:J,"OCDC",JOURNAL!O:O,"PS")</f>
        <v>0</v>
      </c>
      <c r="AX5" s="271"/>
      <c r="AY5" s="57" t="s">
        <v>30</v>
      </c>
      <c r="AZ5" s="165">
        <f>COUNTIFS(JOURNAL!F:F,"1",JOURNAL!J:J,"TCP",JOURNAL!O:O,"PS")</f>
        <v>0</v>
      </c>
      <c r="BA5" s="271"/>
      <c r="BB5" s="57" t="s">
        <v>30</v>
      </c>
      <c r="BC5" s="165">
        <f>COUNTIFS(JOURNAL!F:F,"1",JOURNAL!J:J,"OCP",JOURNAL!O:O,"PS")</f>
        <v>0</v>
      </c>
      <c r="BD5" s="271"/>
      <c r="BE5" s="57" t="s">
        <v>30</v>
      </c>
      <c r="BF5" s="165">
        <f>COUNTIFS(JOURNAL!F:F,"1",JOURNAL!J:J,"RE",JOURNAL!O:O,"PS")</f>
        <v>0</v>
      </c>
    </row>
    <row r="6" spans="2:58" ht="15.75" customHeight="1" x14ac:dyDescent="0.25">
      <c r="B6" s="266"/>
      <c r="C6" s="112" t="s">
        <v>28</v>
      </c>
      <c r="D6" s="48">
        <f>COUNTIFS(JOURNAL!J:J,"TCDP",JOURNAL!P:P,"TC")</f>
        <v>0</v>
      </c>
      <c r="E6" s="57" t="s">
        <v>30</v>
      </c>
      <c r="F6" s="48">
        <f>COUNTIFS(JOURNAL!J:J,"TCDP",JOURNAL!O:O,"PS")</f>
        <v>0</v>
      </c>
      <c r="H6" s="266"/>
      <c r="I6" s="112" t="s">
        <v>28</v>
      </c>
      <c r="J6" s="48">
        <f>COUNTIFS(JOURNAL!J:J,"OCDP",JOURNAL!P:P,"TC")</f>
        <v>0</v>
      </c>
      <c r="K6" s="57" t="s">
        <v>30</v>
      </c>
      <c r="L6" s="48">
        <f>COUNTIFS(JOURNAL!J:J,"OCDP",JOURNAL!O:O,"PS")</f>
        <v>0</v>
      </c>
      <c r="N6" s="266"/>
      <c r="O6" s="112" t="s">
        <v>28</v>
      </c>
      <c r="P6" s="48">
        <f>COUNTIFS(JOURNAL!J:J,"TCDL",JOURNAL!P:P,"TC")</f>
        <v>0</v>
      </c>
      <c r="Q6" s="57" t="s">
        <v>30</v>
      </c>
      <c r="R6" s="48">
        <f>COUNTIFS(JOURNAL!J:J,"TCDL",JOURNAL!O:O,"PS")</f>
        <v>0</v>
      </c>
      <c r="T6" s="159" t="s">
        <v>10</v>
      </c>
      <c r="U6" s="155">
        <f>F32</f>
        <v>0</v>
      </c>
      <c r="V6" s="82">
        <f>SMALL(U3:U13,8)</f>
        <v>0</v>
      </c>
      <c r="Y6" s="273"/>
      <c r="Z6" s="271"/>
      <c r="AA6" s="58" t="s">
        <v>31</v>
      </c>
      <c r="AB6" s="165">
        <f>COUNTIFS(JOURNAL!F:F,"1",JOURNAL!J:J,"TCDP",JOURNAL!O:O,"LS")</f>
        <v>0</v>
      </c>
      <c r="AC6" s="271"/>
      <c r="AD6" s="58" t="s">
        <v>31</v>
      </c>
      <c r="AE6" s="165">
        <f>COUNTIFS(JOURNAL!F:F,"1",JOURNAL!J:J,"OCDP",JOURNAL!O:O,"LS")</f>
        <v>0</v>
      </c>
      <c r="AF6" s="271"/>
      <c r="AG6" s="58" t="s">
        <v>31</v>
      </c>
      <c r="AH6" s="165">
        <f>COUNTIFS(JOURNAL!F:F,"1",JOURNAL!J:J,"TCDL",JOURNAL!O:O,"LS")</f>
        <v>0</v>
      </c>
      <c r="AI6" s="271"/>
      <c r="AJ6" s="58" t="s">
        <v>31</v>
      </c>
      <c r="AK6" s="165">
        <f>COUNTIFS(JOURNAL!F:F,"1",JOURNAL!J:J,"OCDL",JOURNAL!O:O,"LS")</f>
        <v>0</v>
      </c>
      <c r="AL6" s="271"/>
      <c r="AM6" s="58" t="s">
        <v>31</v>
      </c>
      <c r="AN6" s="165">
        <f>COUNTIFS(JOURNAL!F:F,"1",JOURNAL!J:J,"TCDW",JOURNAL!O:O,"LS")</f>
        <v>0</v>
      </c>
      <c r="AO6" s="271"/>
      <c r="AP6" s="58" t="s">
        <v>31</v>
      </c>
      <c r="AQ6" s="165">
        <f>COUNTIFS(JOURNAL!F:F,"1",JOURNAL!J:J,"OCDW",JOURNAL!O:O,"LS")</f>
        <v>0</v>
      </c>
      <c r="AR6" s="271"/>
      <c r="AS6" s="58" t="s">
        <v>31</v>
      </c>
      <c r="AT6" s="165">
        <f>COUNTIFS(JOURNAL!F:F,"1",JOURNAL!J:J,"TCDC",JOURNAL!O:O,"LS")</f>
        <v>0</v>
      </c>
      <c r="AU6" s="271"/>
      <c r="AV6" s="58" t="s">
        <v>31</v>
      </c>
      <c r="AW6" s="165">
        <f>COUNTIFS(JOURNAL!F:F,"1",JOURNAL!J:J,"OCDC",JOURNAL!O:O,"LS")</f>
        <v>0</v>
      </c>
      <c r="AX6" s="271"/>
      <c r="AY6" s="58" t="s">
        <v>31</v>
      </c>
      <c r="AZ6" s="165">
        <f>COUNTIFS(JOURNAL!F:F,"1",JOURNAL!J:J,"TCP",JOURNAL!O:O,"LS")</f>
        <v>0</v>
      </c>
      <c r="BA6" s="271"/>
      <c r="BB6" s="58" t="s">
        <v>31</v>
      </c>
      <c r="BC6" s="165">
        <f>COUNTIFS(JOURNAL!F:F,"1",JOURNAL!J:J,"OCP",JOURNAL!O:O,"LS")</f>
        <v>0</v>
      </c>
      <c r="BD6" s="271"/>
      <c r="BE6" s="58" t="s">
        <v>31</v>
      </c>
      <c r="BF6" s="165">
        <f>COUNTIFS(JOURNAL!F:F,"1",JOURNAL!J:J,"RE",JOURNAL!O:O,"LS")</f>
        <v>0</v>
      </c>
    </row>
    <row r="7" spans="2:58" ht="15.75" customHeight="1" x14ac:dyDescent="0.25">
      <c r="B7" s="266"/>
      <c r="C7" s="114" t="s">
        <v>37</v>
      </c>
      <c r="D7" s="48">
        <f>COUNTIFS(JOURNAL!J:J,"TCDP",JOURNAL!P:P,"DC")</f>
        <v>0</v>
      </c>
      <c r="E7" s="58" t="s">
        <v>31</v>
      </c>
      <c r="F7" s="48">
        <f>COUNTIFS(JOURNAL!J:J,"TCDP",JOURNAL!O:O,"LS")</f>
        <v>0</v>
      </c>
      <c r="H7" s="266"/>
      <c r="I7" s="114" t="s">
        <v>37</v>
      </c>
      <c r="J7" s="48">
        <f>COUNTIFS(JOURNAL!J:J,"OCDP",JOURNAL!P:P,"DC")</f>
        <v>0</v>
      </c>
      <c r="K7" s="58" t="s">
        <v>31</v>
      </c>
      <c r="L7" s="48">
        <f>COUNTIFS(JOURNAL!J:J,"OCDP",JOURNAL!O:O,"LS")</f>
        <v>0</v>
      </c>
      <c r="N7" s="266"/>
      <c r="O7" s="114" t="s">
        <v>37</v>
      </c>
      <c r="P7" s="48">
        <f>COUNTIFS(JOURNAL!J:J,"TCDL",JOURNAL!P:P,"DC")</f>
        <v>0</v>
      </c>
      <c r="Q7" s="58" t="s">
        <v>31</v>
      </c>
      <c r="R7" s="48">
        <f>COUNTIFS(JOURNAL!J:J,"TCDL",JOURNAL!O:O,"LS")</f>
        <v>0</v>
      </c>
      <c r="T7" s="159" t="s">
        <v>12</v>
      </c>
      <c r="U7" s="155">
        <f>R32</f>
        <v>0</v>
      </c>
      <c r="V7" s="83">
        <f>SMALL(U3:U13,7)</f>
        <v>0</v>
      </c>
      <c r="Y7" s="273"/>
      <c r="Z7" s="271"/>
      <c r="AA7" s="59" t="s">
        <v>33</v>
      </c>
      <c r="AB7" s="165">
        <f>COUNTIFS(JOURNAL!F:F,"1",JOURNAL!J:J,"TCDP",JOURNAL!O:O,"OT +")</f>
        <v>0</v>
      </c>
      <c r="AC7" s="271"/>
      <c r="AD7" s="59" t="s">
        <v>33</v>
      </c>
      <c r="AE7" s="165">
        <f>COUNTIFS(JOURNAL!F:F,"1",JOURNAL!J:J,"OCDP",JOURNAL!O:O,"OT +")</f>
        <v>0</v>
      </c>
      <c r="AF7" s="271"/>
      <c r="AG7" s="59" t="s">
        <v>33</v>
      </c>
      <c r="AH7" s="165">
        <f>COUNTIFS(JOURNAL!F:F,"1",JOURNAL!J:J,"TCDL",JOURNAL!O:O,"OT +")</f>
        <v>0</v>
      </c>
      <c r="AI7" s="271"/>
      <c r="AJ7" s="59" t="s">
        <v>33</v>
      </c>
      <c r="AK7" s="165">
        <f>COUNTIFS(JOURNAL!F:F,"1",JOURNAL!J:J,"OCDL",JOURNAL!O:O,"OT  +")</f>
        <v>0</v>
      </c>
      <c r="AL7" s="271"/>
      <c r="AM7" s="59" t="s">
        <v>33</v>
      </c>
      <c r="AN7" s="165">
        <f>COUNTIFS(JOURNAL!F:F,"1",JOURNAL!J:J,"TCDW",JOURNAL!O:O,"OT +")</f>
        <v>0</v>
      </c>
      <c r="AO7" s="271"/>
      <c r="AP7" s="59" t="s">
        <v>33</v>
      </c>
      <c r="AQ7" s="165">
        <f>COUNTIFS(JOURNAL!F:F,"1",JOURNAL!J:J,"OCDW",JOURNAL!O:O,"OT +")</f>
        <v>0</v>
      </c>
      <c r="AR7" s="271"/>
      <c r="AS7" s="59" t="s">
        <v>33</v>
      </c>
      <c r="AT7" s="165">
        <f>COUNTIFS(JOURNAL!F:F,"1",JOURNAL!J:J,"TCDC",JOURNAL!O:O,"OT +")</f>
        <v>0</v>
      </c>
      <c r="AU7" s="271"/>
      <c r="AV7" s="59" t="s">
        <v>33</v>
      </c>
      <c r="AW7" s="165">
        <f>COUNTIFS(JOURNAL!F:F,"1",JOURNAL!J:J,"OCDC",JOURNAL!O:O,"OT +")</f>
        <v>0</v>
      </c>
      <c r="AX7" s="271"/>
      <c r="AY7" s="59" t="s">
        <v>33</v>
      </c>
      <c r="AZ7" s="165">
        <f>COUNTIFS(JOURNAL!F:F,"1",JOURNAL!J:J,"TCP",JOURNAL!O:O,"OT +")</f>
        <v>0</v>
      </c>
      <c r="BA7" s="271"/>
      <c r="BB7" s="59" t="s">
        <v>33</v>
      </c>
      <c r="BC7" s="165">
        <f>COUNTIFS(JOURNAL!F:F,"1",JOURNAL!J:J,"OCP",JOURNAL!O:O,"OT +")</f>
        <v>0</v>
      </c>
      <c r="BD7" s="271"/>
      <c r="BE7" s="59" t="s">
        <v>33</v>
      </c>
      <c r="BF7" s="165">
        <f>COUNTIFS(JOURNAL!F:F,"1",JOURNAL!J:J,"RE",JOURNAL!O:O,"OT +")</f>
        <v>0</v>
      </c>
    </row>
    <row r="8" spans="2:58" ht="15.75" customHeight="1" x14ac:dyDescent="0.25">
      <c r="B8" s="266"/>
      <c r="C8" s="115" t="s">
        <v>39</v>
      </c>
      <c r="D8" s="48">
        <f>COUNTIFS(JOURNAL!J:J,"TCDP",JOURNAL!P:P,"RNG")</f>
        <v>0</v>
      </c>
      <c r="E8" s="59" t="s">
        <v>33</v>
      </c>
      <c r="F8" s="48">
        <f>COUNTIFS(JOURNAL!J:J,"TCDP",JOURNAL!O:O,"OT +")</f>
        <v>0</v>
      </c>
      <c r="H8" s="266"/>
      <c r="I8" s="115" t="s">
        <v>39</v>
      </c>
      <c r="J8" s="48">
        <f>COUNTIFS(JOURNAL!J:J,"OCDP",JOURNAL!P:P,"RNG")</f>
        <v>0</v>
      </c>
      <c r="K8" s="59" t="s">
        <v>33</v>
      </c>
      <c r="L8" s="48">
        <f>COUNTIFS(JOURNAL!J:J,"OCDP",JOURNAL!O:O,"OT +")</f>
        <v>0</v>
      </c>
      <c r="N8" s="266"/>
      <c r="O8" s="115" t="s">
        <v>39</v>
      </c>
      <c r="P8" s="48">
        <f>COUNTIFS(JOURNAL!J:J,"TCDL",JOURNAL!P:P,"RNG")</f>
        <v>0</v>
      </c>
      <c r="Q8" s="59" t="s">
        <v>33</v>
      </c>
      <c r="R8" s="48">
        <f>COUNTIFS(JOURNAL!J:J,"TCDL",JOURNAL!O:O,"OT +")</f>
        <v>0</v>
      </c>
      <c r="T8" s="159" t="s">
        <v>13</v>
      </c>
      <c r="U8" s="155">
        <f>L32</f>
        <v>0</v>
      </c>
      <c r="V8" s="83">
        <f>SMALL(U3:U13,6)</f>
        <v>0</v>
      </c>
      <c r="Y8" s="273"/>
      <c r="Z8" s="271"/>
      <c r="AA8" s="60" t="s">
        <v>34</v>
      </c>
      <c r="AB8" s="165">
        <f>COUNTIFS(JOURNAL!F:F,"1",JOURNAL!J:J,"TCDP",JOURNAL!O:O,"OT -")</f>
        <v>0</v>
      </c>
      <c r="AC8" s="271"/>
      <c r="AD8" s="60" t="s">
        <v>34</v>
      </c>
      <c r="AE8" s="165">
        <f>COUNTIFS(JOURNAL!F:F,"1",JOURNAL!J:J,"OCDP",JOURNAL!O:O,"OT -")</f>
        <v>0</v>
      </c>
      <c r="AF8" s="271"/>
      <c r="AG8" s="60" t="s">
        <v>34</v>
      </c>
      <c r="AH8" s="165">
        <f>COUNTIFS(JOURNAL!F:F,"1",JOURNAL!J:J,"TCDL",JOURNAL!O:O,"OT -")</f>
        <v>0</v>
      </c>
      <c r="AI8" s="271"/>
      <c r="AJ8" s="60" t="s">
        <v>34</v>
      </c>
      <c r="AK8" s="165">
        <f>COUNTIFS(JOURNAL!F:F,"1",JOURNAL!J:J,"OCDL",JOURNAL!O:O,"OT -")</f>
        <v>0</v>
      </c>
      <c r="AL8" s="271"/>
      <c r="AM8" s="60" t="s">
        <v>34</v>
      </c>
      <c r="AN8" s="165">
        <f>COUNTIFS(JOURNAL!F:F,"1",JOURNAL!J:J,"TCDW",JOURNAL!O:O,"OT -")</f>
        <v>0</v>
      </c>
      <c r="AO8" s="271"/>
      <c r="AP8" s="60" t="s">
        <v>34</v>
      </c>
      <c r="AQ8" s="165">
        <f>COUNTIFS(JOURNAL!F:F,"1",JOURNAL!J:J,"OCDW",JOURNAL!O:O,"OT -")</f>
        <v>0</v>
      </c>
      <c r="AR8" s="271"/>
      <c r="AS8" s="60" t="s">
        <v>34</v>
      </c>
      <c r="AT8" s="165">
        <f>COUNTIFS(JOURNAL!F:F,"1",JOURNAL!J:J,"TCDC",JOURNAL!O:O,"OT -")</f>
        <v>0</v>
      </c>
      <c r="AU8" s="271"/>
      <c r="AV8" s="60" t="s">
        <v>34</v>
      </c>
      <c r="AW8" s="165">
        <f>COUNTIFS(JOURNAL!F:F,"1",JOURNAL!J:J,"OCDC",JOURNAL!O:O,"OT -")</f>
        <v>0</v>
      </c>
      <c r="AX8" s="271"/>
      <c r="AY8" s="60" t="s">
        <v>34</v>
      </c>
      <c r="AZ8" s="165">
        <f>COUNTIFS(JOURNAL!F:F,"1",JOURNAL!J:J,"TCP",JOURNAL!O:O,"OT -")</f>
        <v>0</v>
      </c>
      <c r="BA8" s="271"/>
      <c r="BB8" s="60" t="s">
        <v>34</v>
      </c>
      <c r="BC8" s="165">
        <f>COUNTIFS(JOURNAL!F:F,"1",JOURNAL!J:J,"OCP",JOURNAL!O:O,"OT -")</f>
        <v>0</v>
      </c>
      <c r="BD8" s="271"/>
      <c r="BE8" s="60" t="s">
        <v>34</v>
      </c>
      <c r="BF8" s="165">
        <f>COUNTIFS(JOURNAL!F:F,"1",JOURNAL!J:J,"RE",JOURNAL!O:O,"OT -")</f>
        <v>0</v>
      </c>
    </row>
    <row r="9" spans="2:58" ht="15.75" customHeight="1" x14ac:dyDescent="0.25">
      <c r="B9" s="266"/>
      <c r="C9" s="116" t="s">
        <v>38</v>
      </c>
      <c r="D9" s="48">
        <f>COUNTIFS(JOURNAL!J:J,"TCDP",JOURNAL!P:P,"Keep Went")</f>
        <v>0</v>
      </c>
      <c r="E9" s="60" t="s">
        <v>34</v>
      </c>
      <c r="F9" s="48">
        <f>COUNTIFS(JOURNAL!J:J,"TCDP",JOURNAL!O:O,"OT -")</f>
        <v>0</v>
      </c>
      <c r="H9" s="266"/>
      <c r="I9" s="116" t="s">
        <v>38</v>
      </c>
      <c r="J9" s="48">
        <f>COUNTIFS(JOURNAL!J:J,"OCDP",JOURNAL!P:P,"Keep Went")</f>
        <v>0</v>
      </c>
      <c r="K9" s="60" t="s">
        <v>34</v>
      </c>
      <c r="L9" s="48">
        <f>COUNTIFS(JOURNAL!J:J,"OCDP",JOURNAL!O:O,"OT -")</f>
        <v>0</v>
      </c>
      <c r="N9" s="266"/>
      <c r="O9" s="116" t="s">
        <v>38</v>
      </c>
      <c r="P9" s="48">
        <f>COUNTIFS(JOURNAL!J:J,"TCDL",JOURNAL!P:P,"Keep Went")</f>
        <v>0</v>
      </c>
      <c r="Q9" s="60" t="s">
        <v>34</v>
      </c>
      <c r="R9" s="48">
        <f>COUNTIFS(JOURNAL!J:J,"TCDL",JOURNAL!O:O,"OT -")</f>
        <v>0</v>
      </c>
      <c r="T9" s="159" t="s">
        <v>8</v>
      </c>
      <c r="U9" s="155">
        <f>F55</f>
        <v>0</v>
      </c>
      <c r="V9" s="51">
        <f>SMALL(U3:U13,7)</f>
        <v>0</v>
      </c>
      <c r="Y9" s="273"/>
      <c r="Z9" s="271"/>
      <c r="AA9" s="25" t="s">
        <v>115</v>
      </c>
      <c r="AB9" s="166">
        <f>SUM(AB2:AB8)</f>
        <v>0</v>
      </c>
      <c r="AC9" s="271"/>
      <c r="AD9" s="25" t="s">
        <v>115</v>
      </c>
      <c r="AE9" s="166">
        <f>SUM(AE2:AE8)</f>
        <v>0</v>
      </c>
      <c r="AF9" s="271"/>
      <c r="AG9" s="25" t="s">
        <v>115</v>
      </c>
      <c r="AH9" s="166">
        <f>SUM(AH2:AH8)</f>
        <v>0</v>
      </c>
      <c r="AI9" s="271"/>
      <c r="AJ9" s="25" t="s">
        <v>115</v>
      </c>
      <c r="AK9" s="166">
        <f>SUM(AK2:AK8)</f>
        <v>0</v>
      </c>
      <c r="AL9" s="271"/>
      <c r="AM9" s="25" t="s">
        <v>115</v>
      </c>
      <c r="AN9" s="166">
        <f>SUM(AN2:AN8)</f>
        <v>0</v>
      </c>
      <c r="AO9" s="271"/>
      <c r="AP9" s="25" t="s">
        <v>115</v>
      </c>
      <c r="AQ9" s="166">
        <f>SUM(AQ2:AQ8)</f>
        <v>0</v>
      </c>
      <c r="AR9" s="271"/>
      <c r="AS9" s="25" t="s">
        <v>115</v>
      </c>
      <c r="AT9" s="166">
        <f>SUM(AT2:AT8)</f>
        <v>0</v>
      </c>
      <c r="AU9" s="271"/>
      <c r="AV9" s="25" t="s">
        <v>115</v>
      </c>
      <c r="AW9" s="166">
        <f>SUM(AW2:AW8)</f>
        <v>0</v>
      </c>
      <c r="AX9" s="271"/>
      <c r="AY9" s="25" t="s">
        <v>115</v>
      </c>
      <c r="AZ9" s="166">
        <f>SUM(AZ2:AZ8)</f>
        <v>0</v>
      </c>
      <c r="BA9" s="271"/>
      <c r="BB9" s="25" t="s">
        <v>115</v>
      </c>
      <c r="BC9" s="166">
        <f>SUM(BC2:BC8)</f>
        <v>0</v>
      </c>
      <c r="BD9" s="271"/>
      <c r="BE9" s="25" t="s">
        <v>115</v>
      </c>
      <c r="BF9" s="166">
        <f>SUM(BF2:BF8)</f>
        <v>0</v>
      </c>
    </row>
    <row r="10" spans="2:58" ht="15.75" customHeight="1" x14ac:dyDescent="0.25">
      <c r="B10" s="261"/>
      <c r="C10" s="121" t="s">
        <v>44</v>
      </c>
      <c r="D10" s="155" t="e">
        <f>SUM(F3,F5,F6,F8)/C3</f>
        <v>#DIV/0!</v>
      </c>
      <c r="E10" s="121" t="s">
        <v>159</v>
      </c>
      <c r="F10" s="155">
        <f>SUMIF(JOURNAL!J:J,"TCDP",JOURNAL!Q:Q)</f>
        <v>0</v>
      </c>
      <c r="H10" s="261"/>
      <c r="I10" s="121" t="s">
        <v>44</v>
      </c>
      <c r="J10" s="155" t="e">
        <f>SUM(L3,L5,L6,L8)/I3</f>
        <v>#DIV/0!</v>
      </c>
      <c r="K10" s="121" t="s">
        <v>159</v>
      </c>
      <c r="L10" s="155">
        <f>SUMIF(JOURNAL!J:J,"OCDP",JOURNAL!Q:Q)</f>
        <v>0</v>
      </c>
      <c r="N10" s="261"/>
      <c r="O10" s="121" t="s">
        <v>44</v>
      </c>
      <c r="P10" s="155" t="e">
        <f>SUM(R3,R5,R6,R8)/O3</f>
        <v>#DIV/0!</v>
      </c>
      <c r="Q10" s="121" t="s">
        <v>159</v>
      </c>
      <c r="R10" s="155">
        <f>SUMIF(JOURNAL!J:J,"TCDL",JOURNAL!Q:Q)</f>
        <v>0</v>
      </c>
      <c r="T10" s="159" t="s">
        <v>11</v>
      </c>
      <c r="U10" s="155">
        <f>L55</f>
        <v>0</v>
      </c>
      <c r="V10" s="51">
        <f>SMALL(U3:U13,4)</f>
        <v>0</v>
      </c>
      <c r="Y10" s="273"/>
      <c r="Z10" s="272"/>
      <c r="AA10" s="29" t="s">
        <v>44</v>
      </c>
      <c r="AB10" s="164" t="e">
        <f>SUM(AB2,AB4,AB5,AB7)/AB9</f>
        <v>#DIV/0!</v>
      </c>
      <c r="AC10" s="272"/>
      <c r="AD10" s="29" t="s">
        <v>44</v>
      </c>
      <c r="AE10" s="164" t="e">
        <f>SUM(AE2,AE4,AE5,AE7)/AE9</f>
        <v>#DIV/0!</v>
      </c>
      <c r="AF10" s="272"/>
      <c r="AG10" s="29" t="s">
        <v>44</v>
      </c>
      <c r="AH10" s="164" t="e">
        <f>SUM(AH2,AH4,AH5,AH7)/AH9</f>
        <v>#DIV/0!</v>
      </c>
      <c r="AI10" s="272"/>
      <c r="AJ10" s="29" t="s">
        <v>44</v>
      </c>
      <c r="AK10" s="164" t="e">
        <f>SUM(AK2,AK4,AK5,AK7)/AK9</f>
        <v>#DIV/0!</v>
      </c>
      <c r="AL10" s="272"/>
      <c r="AM10" s="29" t="s">
        <v>44</v>
      </c>
      <c r="AN10" s="164" t="e">
        <f>SUM(AN2,AN4,AN5,AN7)/AN9</f>
        <v>#DIV/0!</v>
      </c>
      <c r="AO10" s="272"/>
      <c r="AP10" s="29" t="s">
        <v>44</v>
      </c>
      <c r="AQ10" s="164" t="e">
        <f>SUM(AQ2,AQ4,AQ5,AQ7)/AQ9</f>
        <v>#DIV/0!</v>
      </c>
      <c r="AR10" s="272"/>
      <c r="AS10" s="29" t="s">
        <v>44</v>
      </c>
      <c r="AT10" s="164" t="e">
        <f>SUM(AT2,AT4,AT5,AT7)/AT9</f>
        <v>#DIV/0!</v>
      </c>
      <c r="AU10" s="272"/>
      <c r="AV10" s="29" t="s">
        <v>44</v>
      </c>
      <c r="AW10" s="164" t="e">
        <f>SUM(AW2,AW4,AW5,AW7)/AW9</f>
        <v>#DIV/0!</v>
      </c>
      <c r="AX10" s="272"/>
      <c r="AY10" s="29" t="s">
        <v>44</v>
      </c>
      <c r="AZ10" s="164" t="e">
        <f>SUM(AZ2,AZ4,AZ5,AZ7)/AZ9</f>
        <v>#DIV/0!</v>
      </c>
      <c r="BA10" s="272"/>
      <c r="BB10" s="29" t="s">
        <v>44</v>
      </c>
      <c r="BC10" s="164" t="e">
        <f>SUM(BC2,BC4,BC5,BC7)/BC9</f>
        <v>#DIV/0!</v>
      </c>
      <c r="BD10" s="272"/>
      <c r="BE10" s="29" t="s">
        <v>44</v>
      </c>
      <c r="BF10" s="164" t="e">
        <f>SUM(BF2,BF4,BF5,BF7)/BF9</f>
        <v>#DIV/0!</v>
      </c>
    </row>
    <row r="11" spans="2:58" ht="20.25" customHeight="1" x14ac:dyDescent="0.25">
      <c r="T11" s="159" t="s">
        <v>14</v>
      </c>
      <c r="U11" s="155">
        <f>F76</f>
        <v>0</v>
      </c>
      <c r="V11" s="52">
        <f>SMALL(U3:U13,3)</f>
        <v>0</v>
      </c>
    </row>
    <row r="12" spans="2:58" ht="18.75" customHeight="1" x14ac:dyDescent="0.25">
      <c r="T12" s="159" t="s">
        <v>15</v>
      </c>
      <c r="U12" s="155">
        <f>R55</f>
        <v>0</v>
      </c>
      <c r="V12" s="84">
        <f>SMALL(U3:U13,2)</f>
        <v>0</v>
      </c>
      <c r="Y12" s="273" t="s">
        <v>69</v>
      </c>
      <c r="Z12" s="270" t="s">
        <v>6</v>
      </c>
      <c r="AA12" s="54" t="s">
        <v>27</v>
      </c>
      <c r="AB12" s="165">
        <f>COUNTIFS(JOURNAL!F:F,"2",JOURNAL!J:J,"TCDP",JOURNAL!O:O,"TP")</f>
        <v>0</v>
      </c>
      <c r="AC12" s="270" t="s">
        <v>7</v>
      </c>
      <c r="AD12" s="54" t="s">
        <v>27</v>
      </c>
      <c r="AE12" s="165">
        <f>COUNTIFS(JOURNAL!F:F,"2",JOURNAL!J:J,"OCDP",JOURNAL!O:O,"TP")</f>
        <v>0</v>
      </c>
      <c r="AF12" s="270" t="s">
        <v>9</v>
      </c>
      <c r="AG12" s="54" t="s">
        <v>27</v>
      </c>
      <c r="AH12" s="165">
        <f>COUNTIFS(JOURNAL!F:F,"2",JOURNAL!J:J,"TCDL",JOURNAL!O:O,"TP")</f>
        <v>0</v>
      </c>
      <c r="AI12" s="270" t="s">
        <v>10</v>
      </c>
      <c r="AJ12" s="54" t="s">
        <v>27</v>
      </c>
      <c r="AK12" s="165">
        <f>COUNTIFS(JOURNAL!F:F,"2",JOURNAL!J:J,"OCDL",JOURNAL!O:O,"TP")</f>
        <v>0</v>
      </c>
      <c r="AL12" s="270" t="s">
        <v>8</v>
      </c>
      <c r="AM12" s="54" t="s">
        <v>27</v>
      </c>
      <c r="AN12" s="165">
        <f>COUNTIFS(JOURNAL!F:F,"2",JOURNAL!J:J,"TCDW",JOURNAL!O:O,"TP")</f>
        <v>0</v>
      </c>
      <c r="AO12" s="270" t="s">
        <v>11</v>
      </c>
      <c r="AP12" s="54" t="s">
        <v>27</v>
      </c>
      <c r="AQ12" s="165">
        <f>COUNTIFS(JOURNAL!F:F,"2",JOURNAL!J:J,"OCDW",JOURNAL!O:O,"TP")</f>
        <v>0</v>
      </c>
      <c r="AR12" s="270" t="s">
        <v>12</v>
      </c>
      <c r="AS12" s="54" t="s">
        <v>27</v>
      </c>
      <c r="AT12" s="165">
        <f>COUNTIFS(JOURNAL!F:F,"2",JOURNAL!J:J,"TCDC",JOURNAL!O:O,"TP")</f>
        <v>0</v>
      </c>
      <c r="AU12" s="270" t="s">
        <v>13</v>
      </c>
      <c r="AV12" s="54" t="s">
        <v>27</v>
      </c>
      <c r="AW12" s="165">
        <f>COUNTIFS(JOURNAL!F:F,"2",JOURNAL!J:J,"OCDC",JOURNAL!O:O,"TP")</f>
        <v>0</v>
      </c>
      <c r="AX12" s="270" t="s">
        <v>14</v>
      </c>
      <c r="AY12" s="54" t="s">
        <v>27</v>
      </c>
      <c r="AZ12" s="165">
        <f>COUNTIFS(JOURNAL!F:F,"2",JOURNAL!J:J,"TCP",JOURNAL!O:O,"TP")</f>
        <v>0</v>
      </c>
      <c r="BA12" s="270" t="s">
        <v>15</v>
      </c>
      <c r="BB12" s="54" t="s">
        <v>27</v>
      </c>
      <c r="BC12" s="165">
        <f>COUNTIFS(JOURNAL!F:F,"2",JOURNAL!J:J,"OCP",JOURNAL!O:O,"TP")</f>
        <v>0</v>
      </c>
      <c r="BD12" s="270" t="s">
        <v>16</v>
      </c>
      <c r="BE12" s="54" t="s">
        <v>27</v>
      </c>
      <c r="BF12" s="165">
        <f>COUNTIFS(JOURNAL!F:F,"2",JOURNAL!J:J,"RE",JOURNAL!O:O,"TP")</f>
        <v>0</v>
      </c>
    </row>
    <row r="13" spans="2:58" ht="17.25" customHeight="1" x14ac:dyDescent="0.25">
      <c r="T13" s="159" t="s">
        <v>16</v>
      </c>
      <c r="U13" s="155">
        <f>L76</f>
        <v>0</v>
      </c>
      <c r="V13" s="85">
        <f>SMALL(U3:U13,1)</f>
        <v>0</v>
      </c>
      <c r="Y13" s="273"/>
      <c r="Z13" s="271"/>
      <c r="AA13" s="55" t="s">
        <v>29</v>
      </c>
      <c r="AB13" s="165">
        <f>COUNTIFS(JOURNAL!F:F,"2",JOURNAL!J:J,"TCDP",JOURNAL!O:O,"SL")</f>
        <v>0</v>
      </c>
      <c r="AC13" s="271"/>
      <c r="AD13" s="55" t="s">
        <v>29</v>
      </c>
      <c r="AE13" s="165">
        <f>COUNTIFS(JOURNAL!F:F,"2",JOURNAL!J:J,"OCDP",JOURNAL!O:O,"SL")</f>
        <v>0</v>
      </c>
      <c r="AF13" s="271"/>
      <c r="AG13" s="55" t="s">
        <v>29</v>
      </c>
      <c r="AH13" s="165">
        <f>COUNTIFS(JOURNAL!F:F,"2",JOURNAL!J:J,"TCDL",JOURNAL!O:O,"SL")</f>
        <v>0</v>
      </c>
      <c r="AI13" s="271"/>
      <c r="AJ13" s="55" t="s">
        <v>29</v>
      </c>
      <c r="AK13" s="165">
        <f>COUNTIFS(JOURNAL!F:F,"2",JOURNAL!J:J,"OCDL",JOURNAL!O:O,"SL")</f>
        <v>0</v>
      </c>
      <c r="AL13" s="271"/>
      <c r="AM13" s="55" t="s">
        <v>29</v>
      </c>
      <c r="AN13" s="165">
        <f>COUNTIFS(JOURNAL!F:F,"2",JOURNAL!J:J,"TCDW",JOURNAL!O:O,"SL")</f>
        <v>0</v>
      </c>
      <c r="AO13" s="271"/>
      <c r="AP13" s="55" t="s">
        <v>29</v>
      </c>
      <c r="AQ13" s="165">
        <f>COUNTIFS(JOURNAL!F:F,"2",JOURNAL!J:J,"OCDW",JOURNAL!O:O,"SL")</f>
        <v>0</v>
      </c>
      <c r="AR13" s="271"/>
      <c r="AS13" s="55" t="s">
        <v>29</v>
      </c>
      <c r="AT13" s="165">
        <f>COUNTIFS(JOURNAL!F:F,"2",JOURNAL!J:J,"TCDC",JOURNAL!O:O,"SL")</f>
        <v>0</v>
      </c>
      <c r="AU13" s="271"/>
      <c r="AV13" s="55" t="s">
        <v>29</v>
      </c>
      <c r="AW13" s="165">
        <f>COUNTIFS(JOURNAL!F:F,"2",JOURNAL!J:J,"OCDC",JOURNAL!O:O,"SL")</f>
        <v>0</v>
      </c>
      <c r="AX13" s="271"/>
      <c r="AY13" s="55" t="s">
        <v>29</v>
      </c>
      <c r="AZ13" s="165">
        <f>COUNTIFS(JOURNAL!F:F,"2",JOURNAL!J:J,"TCP",JOURNAL!O:O,"SL")</f>
        <v>0</v>
      </c>
      <c r="BA13" s="271"/>
      <c r="BB13" s="55" t="s">
        <v>29</v>
      </c>
      <c r="BC13" s="165">
        <f>COUNTIFS(JOURNAL!F:F,"2",JOURNAL!J:J,"OCP",JOURNAL!O:O,"SL")</f>
        <v>0</v>
      </c>
      <c r="BD13" s="271"/>
      <c r="BE13" s="55" t="s">
        <v>29</v>
      </c>
      <c r="BF13" s="165">
        <f>COUNTIFS(JOURNAL!F:F,"2",JOURNAL!J:J,"RE",JOURNAL!O:O,"SL")</f>
        <v>0</v>
      </c>
    </row>
    <row r="14" spans="2:58" ht="18" customHeight="1" x14ac:dyDescent="0.25">
      <c r="Y14" s="273"/>
      <c r="Z14" s="271"/>
      <c r="AA14" s="56" t="s">
        <v>32</v>
      </c>
      <c r="AB14" s="165">
        <f>COUNTIFS(JOURNAL!F:F,"2",JOURNAL!J:J,"TCDP",JOURNAL!O:O,"RF")</f>
        <v>0</v>
      </c>
      <c r="AC14" s="271"/>
      <c r="AD14" s="56" t="s">
        <v>32</v>
      </c>
      <c r="AE14" s="165">
        <f>COUNTIFS(JOURNAL!F:F,"2",JOURNAL!J:J,"OCDP",JOURNAL!O:O,"RF")</f>
        <v>0</v>
      </c>
      <c r="AF14" s="271"/>
      <c r="AG14" s="56" t="s">
        <v>32</v>
      </c>
      <c r="AH14" s="165">
        <f>COUNTIFS(JOURNAL!F:F,"2",JOURNAL!J:J,"TCDL",JOURNAL!O:O,"RF")</f>
        <v>0</v>
      </c>
      <c r="AI14" s="271"/>
      <c r="AJ14" s="56" t="s">
        <v>32</v>
      </c>
      <c r="AK14" s="165">
        <f>COUNTIFS(JOURNAL!F:F,"2",JOURNAL!J:J,"OCDL",JOURNAL!O:O,"RF")</f>
        <v>0</v>
      </c>
      <c r="AL14" s="271"/>
      <c r="AM14" s="56" t="s">
        <v>32</v>
      </c>
      <c r="AN14" s="165">
        <f>COUNTIFS(JOURNAL!F:F,"2",JOURNAL!J:J,"TCDW",JOURNAL!O:O,"RF")</f>
        <v>0</v>
      </c>
      <c r="AO14" s="271"/>
      <c r="AP14" s="56" t="s">
        <v>32</v>
      </c>
      <c r="AQ14" s="165">
        <f>COUNTIFS(JOURNAL!F:F,"2",JOURNAL!J:J,"OCDW",JOURNAL!O:O,"RF")</f>
        <v>0</v>
      </c>
      <c r="AR14" s="271"/>
      <c r="AS14" s="56" t="s">
        <v>32</v>
      </c>
      <c r="AT14" s="165">
        <f>COUNTIFS(JOURNAL!F:F,"2",JOURNAL!J:J,"TCDC",JOURNAL!O:O,"RF")</f>
        <v>0</v>
      </c>
      <c r="AU14" s="271"/>
      <c r="AV14" s="56" t="s">
        <v>32</v>
      </c>
      <c r="AW14" s="165">
        <f>COUNTIFS(JOURNAL!F:F,"2",JOURNAL!J:J,"OCDC",JOURNAL!O:O,"RF")</f>
        <v>0</v>
      </c>
      <c r="AX14" s="271"/>
      <c r="AY14" s="56" t="s">
        <v>32</v>
      </c>
      <c r="AZ14" s="165">
        <f>COUNTIFS(JOURNAL!F:F,"2",JOURNAL!J:J,"TCP",JOURNAL!O:O,"RF")</f>
        <v>0</v>
      </c>
      <c r="BA14" s="271"/>
      <c r="BB14" s="56" t="s">
        <v>32</v>
      </c>
      <c r="BC14" s="165">
        <f>COUNTIFS(JOURNAL!F:F,"2",JOURNAL!J:J,"OCP",JOURNAL!O:O,"RF")</f>
        <v>0</v>
      </c>
      <c r="BD14" s="271"/>
      <c r="BE14" s="56" t="s">
        <v>32</v>
      </c>
      <c r="BF14" s="165">
        <f>COUNTIFS(JOURNAL!F:F,"2",JOURNAL!J:J,"RE",JOURNAL!O:O,"RF")</f>
        <v>0</v>
      </c>
    </row>
    <row r="15" spans="2:58" ht="18.75" customHeight="1" x14ac:dyDescent="0.25">
      <c r="T15" s="149" t="s">
        <v>47</v>
      </c>
      <c r="U15" s="149" t="s">
        <v>44</v>
      </c>
      <c r="V15" s="150" t="s">
        <v>116</v>
      </c>
      <c r="Y15" s="273"/>
      <c r="Z15" s="271"/>
      <c r="AA15" s="57" t="s">
        <v>30</v>
      </c>
      <c r="AB15" s="165">
        <f>COUNTIFS(JOURNAL!F:F,"2",JOURNAL!J:J,"TCDP",JOURNAL!O:O,"PS")</f>
        <v>0</v>
      </c>
      <c r="AC15" s="271"/>
      <c r="AD15" s="57" t="s">
        <v>30</v>
      </c>
      <c r="AE15" s="165">
        <f>COUNTIFS(JOURNAL!F:F,"2",JOURNAL!J:J,"OCDP",JOURNAL!O:O,"PS")</f>
        <v>0</v>
      </c>
      <c r="AF15" s="271"/>
      <c r="AG15" s="57" t="s">
        <v>30</v>
      </c>
      <c r="AH15" s="165">
        <f>COUNTIFS(JOURNAL!F:F,"2",JOURNAL!J:J,"TCDL",JOURNAL!O:O,"PS")</f>
        <v>0</v>
      </c>
      <c r="AI15" s="271"/>
      <c r="AJ15" s="57" t="s">
        <v>30</v>
      </c>
      <c r="AK15" s="165">
        <f>COUNTIFS(JOURNAL!F:F,"2",JOURNAL!J:J,"OCDL",JOURNAL!O:O,"PS")</f>
        <v>0</v>
      </c>
      <c r="AL15" s="271"/>
      <c r="AM15" s="57" t="s">
        <v>30</v>
      </c>
      <c r="AN15" s="165">
        <f>COUNTIFS(JOURNAL!F:F,"2",JOURNAL!J:J,"TCDW",JOURNAL!O:O,"PS")</f>
        <v>0</v>
      </c>
      <c r="AO15" s="271"/>
      <c r="AP15" s="57" t="s">
        <v>30</v>
      </c>
      <c r="AQ15" s="165">
        <f>COUNTIFS(JOURNAL!F:F,"2",JOURNAL!J:J,"OCDW",JOURNAL!O:O,"PS")</f>
        <v>0</v>
      </c>
      <c r="AR15" s="271"/>
      <c r="AS15" s="57" t="s">
        <v>30</v>
      </c>
      <c r="AT15" s="165">
        <f>COUNTIFS(JOURNAL!F:F,"2",JOURNAL!J:J,"TCDC",JOURNAL!O:O,"PS")</f>
        <v>0</v>
      </c>
      <c r="AU15" s="271"/>
      <c r="AV15" s="57" t="s">
        <v>30</v>
      </c>
      <c r="AW15" s="165">
        <f>COUNTIFS(JOURNAL!F:F,"2",JOURNAL!J:J,"OCDC",JOURNAL!O:O,"PS")</f>
        <v>0</v>
      </c>
      <c r="AX15" s="271"/>
      <c r="AY15" s="57" t="s">
        <v>30</v>
      </c>
      <c r="AZ15" s="165">
        <f>COUNTIFS(JOURNAL!F:F,"2",JOURNAL!J:J,"TCP",JOURNAL!O:O,"PS")</f>
        <v>0</v>
      </c>
      <c r="BA15" s="271"/>
      <c r="BB15" s="57" t="s">
        <v>30</v>
      </c>
      <c r="BC15" s="165">
        <f>COUNTIFS(JOURNAL!F:F,"2",JOURNAL!J:J,"OCP",JOURNAL!O:O,"PS")</f>
        <v>0</v>
      </c>
      <c r="BD15" s="271"/>
      <c r="BE15" s="57" t="s">
        <v>30</v>
      </c>
      <c r="BF15" s="165">
        <f>COUNTIFS(JOURNAL!F:F,"2",JOURNAL!J:J,"RE",JOURNAL!O:O,"PS")</f>
        <v>0</v>
      </c>
    </row>
    <row r="16" spans="2:58" ht="17.25" customHeight="1" x14ac:dyDescent="0.25">
      <c r="T16" s="151" t="s">
        <v>6</v>
      </c>
      <c r="U16" s="155" t="e">
        <f>D10</f>
        <v>#DIV/0!</v>
      </c>
      <c r="V16" s="80" t="e">
        <f>SMALL(U16:U26,11)</f>
        <v>#DIV/0!</v>
      </c>
      <c r="Y16" s="273"/>
      <c r="Z16" s="271"/>
      <c r="AA16" s="58" t="s">
        <v>31</v>
      </c>
      <c r="AB16" s="165">
        <f>COUNTIFS(JOURNAL!F:F,"2",JOURNAL!J:J,"TCDP",JOURNAL!O:O,"LS")</f>
        <v>0</v>
      </c>
      <c r="AC16" s="271"/>
      <c r="AD16" s="58" t="s">
        <v>31</v>
      </c>
      <c r="AE16" s="165">
        <f>COUNTIFS(JOURNAL!F:F,"2",JOURNAL!J:J,"OCDP",JOURNAL!O:O,"LS")</f>
        <v>0</v>
      </c>
      <c r="AF16" s="271"/>
      <c r="AG16" s="58" t="s">
        <v>31</v>
      </c>
      <c r="AH16" s="165">
        <f>COUNTIFS(JOURNAL!F:F,"2",JOURNAL!J:J,"TCDL",JOURNAL!O:O,"LS")</f>
        <v>0</v>
      </c>
      <c r="AI16" s="271"/>
      <c r="AJ16" s="58" t="s">
        <v>31</v>
      </c>
      <c r="AK16" s="165">
        <f>COUNTIFS(JOURNAL!F:F,"2",JOURNAL!J:J,"OCDL",JOURNAL!O:O,"LS")</f>
        <v>0</v>
      </c>
      <c r="AL16" s="271"/>
      <c r="AM16" s="58" t="s">
        <v>31</v>
      </c>
      <c r="AN16" s="165">
        <f>COUNTIFS(JOURNAL!F:F,"2",JOURNAL!J:J,"TCDW",JOURNAL!O:O,"LS")</f>
        <v>0</v>
      </c>
      <c r="AO16" s="271"/>
      <c r="AP16" s="58" t="s">
        <v>31</v>
      </c>
      <c r="AQ16" s="165">
        <f>COUNTIFS(JOURNAL!F:F,"2",JOURNAL!J:J,"OCDW",JOURNAL!O:O,"LS")</f>
        <v>0</v>
      </c>
      <c r="AR16" s="271"/>
      <c r="AS16" s="58" t="s">
        <v>31</v>
      </c>
      <c r="AT16" s="165">
        <f>COUNTIFS(JOURNAL!F:F,"2",JOURNAL!J:J,"TCDC",JOURNAL!O:O,"LS")</f>
        <v>0</v>
      </c>
      <c r="AU16" s="271"/>
      <c r="AV16" s="58" t="s">
        <v>31</v>
      </c>
      <c r="AW16" s="165">
        <f>COUNTIFS(JOURNAL!F:F,"2",JOURNAL!J:J,"OCDC",JOURNAL!O:O,"LS")</f>
        <v>0</v>
      </c>
      <c r="AX16" s="271"/>
      <c r="AY16" s="58" t="s">
        <v>31</v>
      </c>
      <c r="AZ16" s="165">
        <f>COUNTIFS(JOURNAL!F:F,"2",JOURNAL!J:J,"TCP",JOURNAL!O:O,"LS")</f>
        <v>0</v>
      </c>
      <c r="BA16" s="271"/>
      <c r="BB16" s="58" t="s">
        <v>31</v>
      </c>
      <c r="BC16" s="165">
        <f>COUNTIFS(JOURNAL!F:F,"2",JOURNAL!J:J,"OCP",JOURNAL!O:O,"LS")</f>
        <v>0</v>
      </c>
      <c r="BD16" s="271"/>
      <c r="BE16" s="58" t="s">
        <v>31</v>
      </c>
      <c r="BF16" s="165">
        <f>COUNTIFS(JOURNAL!F:F,"2",JOURNAL!J:J,"RE",JOURNAL!O:O,"LS")</f>
        <v>0</v>
      </c>
    </row>
    <row r="17" spans="2:58" ht="15.75" customHeight="1" x14ac:dyDescent="0.25">
      <c r="T17" s="151" t="s">
        <v>7</v>
      </c>
      <c r="U17" s="155" t="e">
        <f>J10</f>
        <v>#DIV/0!</v>
      </c>
      <c r="V17" s="81" t="e">
        <f>SMALL(U16:U26,10)</f>
        <v>#DIV/0!</v>
      </c>
      <c r="Y17" s="273"/>
      <c r="Z17" s="271"/>
      <c r="AA17" s="59" t="s">
        <v>33</v>
      </c>
      <c r="AB17" s="165">
        <f>COUNTIFS(JOURNAL!F:F,"2",JOURNAL!J:J,"TCDP",JOURNAL!O:O,"OT +")</f>
        <v>0</v>
      </c>
      <c r="AC17" s="271"/>
      <c r="AD17" s="59" t="s">
        <v>33</v>
      </c>
      <c r="AE17" s="165">
        <f>COUNTIFS(JOURNAL!F:F,"2",JOURNAL!J:J,"OCDP",JOURNAL!O:O,"OT +")</f>
        <v>0</v>
      </c>
      <c r="AF17" s="271"/>
      <c r="AG17" s="59" t="s">
        <v>33</v>
      </c>
      <c r="AH17" s="165">
        <f>COUNTIFS(JOURNAL!F:F,"2",JOURNAL!J:J,"TCDL",JOURNAL!O:O,"OT +")</f>
        <v>0</v>
      </c>
      <c r="AI17" s="271"/>
      <c r="AJ17" s="59" t="s">
        <v>33</v>
      </c>
      <c r="AK17" s="165">
        <f>COUNTIFS(JOURNAL!F:F,"2",JOURNAL!J:J,"OCDL",JOURNAL!O:O,"OT  +")</f>
        <v>0</v>
      </c>
      <c r="AL17" s="271"/>
      <c r="AM17" s="59" t="s">
        <v>33</v>
      </c>
      <c r="AN17" s="165">
        <f>COUNTIFS(JOURNAL!F:F,"2",JOURNAL!J:J,"TCDW",JOURNAL!O:O,"OT +")</f>
        <v>0</v>
      </c>
      <c r="AO17" s="271"/>
      <c r="AP17" s="59" t="s">
        <v>33</v>
      </c>
      <c r="AQ17" s="165">
        <f>COUNTIFS(JOURNAL!F:F,"2",JOURNAL!J:J,"OCDW",JOURNAL!O:O,"OT +")</f>
        <v>0</v>
      </c>
      <c r="AR17" s="271"/>
      <c r="AS17" s="59" t="s">
        <v>33</v>
      </c>
      <c r="AT17" s="165">
        <f>COUNTIFS(JOURNAL!F:F,"2",JOURNAL!J:J,"TCDC",JOURNAL!O:O,"OT +")</f>
        <v>0</v>
      </c>
      <c r="AU17" s="271"/>
      <c r="AV17" s="59" t="s">
        <v>33</v>
      </c>
      <c r="AW17" s="165">
        <f>COUNTIFS(JOURNAL!F:F,"2",JOURNAL!J:J,"OCDC",JOURNAL!O:O,"OT +")</f>
        <v>0</v>
      </c>
      <c r="AX17" s="271"/>
      <c r="AY17" s="59" t="s">
        <v>33</v>
      </c>
      <c r="AZ17" s="165">
        <f>COUNTIFS(JOURNAL!F:F,"2",JOURNAL!J:J,"TCP",JOURNAL!O:O,"OT +")</f>
        <v>0</v>
      </c>
      <c r="BA17" s="271"/>
      <c r="BB17" s="59" t="s">
        <v>33</v>
      </c>
      <c r="BC17" s="165">
        <f>COUNTIFS(JOURNAL!F:F,"2",JOURNAL!J:J,"OCP",JOURNAL!O:O,"OT +")</f>
        <v>0</v>
      </c>
      <c r="BD17" s="271"/>
      <c r="BE17" s="59" t="s">
        <v>33</v>
      </c>
      <c r="BF17" s="165">
        <f>COUNTIFS(JOURNAL!F:F,"2",JOURNAL!J:J,"RE",JOURNAL!O:O,"OT +")</f>
        <v>0</v>
      </c>
    </row>
    <row r="18" spans="2:58" ht="19.5" customHeight="1" x14ac:dyDescent="0.25">
      <c r="T18" s="151" t="s">
        <v>9</v>
      </c>
      <c r="U18" s="155" t="e">
        <f>P10</f>
        <v>#DIV/0!</v>
      </c>
      <c r="V18" s="82" t="e">
        <f>SMALL(U16:U26,9)</f>
        <v>#DIV/0!</v>
      </c>
      <c r="Y18" s="273"/>
      <c r="Z18" s="271"/>
      <c r="AA18" s="60" t="s">
        <v>34</v>
      </c>
      <c r="AB18" s="165">
        <f>COUNTIFS(JOURNAL!F:F,"2",JOURNAL!J:J,"TCDP",JOURNAL!O:O,"OT -")</f>
        <v>0</v>
      </c>
      <c r="AC18" s="271"/>
      <c r="AD18" s="60" t="s">
        <v>34</v>
      </c>
      <c r="AE18" s="165">
        <f>COUNTIFS(JOURNAL!F:F,"2",JOURNAL!J:J,"OCDP",JOURNAL!O:O,"OT -")</f>
        <v>0</v>
      </c>
      <c r="AF18" s="271"/>
      <c r="AG18" s="60" t="s">
        <v>34</v>
      </c>
      <c r="AH18" s="165">
        <f>COUNTIFS(JOURNAL!F:F,"2",JOURNAL!J:J,"TCDL",JOURNAL!O:O,"OT -")</f>
        <v>0</v>
      </c>
      <c r="AI18" s="271"/>
      <c r="AJ18" s="60" t="s">
        <v>34</v>
      </c>
      <c r="AK18" s="165">
        <f>COUNTIFS(JOURNAL!F:F,"2",JOURNAL!J:J,"OCDL",JOURNAL!O:O,"OT -")</f>
        <v>0</v>
      </c>
      <c r="AL18" s="271"/>
      <c r="AM18" s="60" t="s">
        <v>34</v>
      </c>
      <c r="AN18" s="165">
        <f>COUNTIFS(JOURNAL!F:F,"2",JOURNAL!J:J,"TCDW",JOURNAL!O:O,"OT -")</f>
        <v>0</v>
      </c>
      <c r="AO18" s="271"/>
      <c r="AP18" s="60" t="s">
        <v>34</v>
      </c>
      <c r="AQ18" s="165">
        <f>COUNTIFS(JOURNAL!F:F,"2",JOURNAL!J:J,"OCDW",JOURNAL!O:O,"OT -")</f>
        <v>0</v>
      </c>
      <c r="AR18" s="271"/>
      <c r="AS18" s="60" t="s">
        <v>34</v>
      </c>
      <c r="AT18" s="165">
        <f>COUNTIFS(JOURNAL!F:F,"2",JOURNAL!J:J,"TCDC",JOURNAL!O:O,"OT -")</f>
        <v>0</v>
      </c>
      <c r="AU18" s="271"/>
      <c r="AV18" s="60" t="s">
        <v>34</v>
      </c>
      <c r="AW18" s="165">
        <f>COUNTIFS(JOURNAL!F:F,"2",JOURNAL!J:J,"OCDC",JOURNAL!O:O,"OT -")</f>
        <v>0</v>
      </c>
      <c r="AX18" s="271"/>
      <c r="AY18" s="60" t="s">
        <v>34</v>
      </c>
      <c r="AZ18" s="165">
        <f>COUNTIFS(JOURNAL!F:F,"2",JOURNAL!J:J,"TCP",JOURNAL!O:O,"OT -")</f>
        <v>0</v>
      </c>
      <c r="BA18" s="271"/>
      <c r="BB18" s="60" t="s">
        <v>34</v>
      </c>
      <c r="BC18" s="165">
        <f>COUNTIFS(JOURNAL!F:F,"2",JOURNAL!J:J,"OCP",JOURNAL!O:O,"OT -")</f>
        <v>0</v>
      </c>
      <c r="BD18" s="271"/>
      <c r="BE18" s="60" t="s">
        <v>34</v>
      </c>
      <c r="BF18" s="165">
        <f>COUNTIFS(JOURNAL!F:F,"2",JOURNAL!J:J,"RE",JOURNAL!O:O,"OT -")</f>
        <v>0</v>
      </c>
    </row>
    <row r="19" spans="2:58" ht="15.75" customHeight="1" x14ac:dyDescent="0.25">
      <c r="T19" s="151" t="s">
        <v>10</v>
      </c>
      <c r="U19" s="155" t="e">
        <f>D32</f>
        <v>#DIV/0!</v>
      </c>
      <c r="V19" s="82" t="e">
        <f>SMALL(U16:U26,8)</f>
        <v>#DIV/0!</v>
      </c>
      <c r="Y19" s="273"/>
      <c r="Z19" s="271"/>
      <c r="AA19" s="25" t="s">
        <v>115</v>
      </c>
      <c r="AB19" s="166">
        <f>SUM(AB12:AB18)</f>
        <v>0</v>
      </c>
      <c r="AC19" s="271"/>
      <c r="AD19" s="25" t="s">
        <v>115</v>
      </c>
      <c r="AE19" s="166">
        <f>SUM(AE12:AE18)</f>
        <v>0</v>
      </c>
      <c r="AF19" s="271"/>
      <c r="AG19" s="25" t="s">
        <v>115</v>
      </c>
      <c r="AH19" s="166">
        <f>SUM(AH12:AH18)</f>
        <v>0</v>
      </c>
      <c r="AI19" s="271"/>
      <c r="AJ19" s="25" t="s">
        <v>115</v>
      </c>
      <c r="AK19" s="166">
        <f>SUM(AK12:AK18)</f>
        <v>0</v>
      </c>
      <c r="AL19" s="271"/>
      <c r="AM19" s="25" t="s">
        <v>115</v>
      </c>
      <c r="AN19" s="166">
        <f>SUM(AN12:AN18)</f>
        <v>0</v>
      </c>
      <c r="AO19" s="271"/>
      <c r="AP19" s="25" t="s">
        <v>115</v>
      </c>
      <c r="AQ19" s="166">
        <f>SUM(AQ12:AQ18)</f>
        <v>0</v>
      </c>
      <c r="AR19" s="271"/>
      <c r="AS19" s="25" t="s">
        <v>115</v>
      </c>
      <c r="AT19" s="166">
        <f>SUM(AT12:AT18)</f>
        <v>0</v>
      </c>
      <c r="AU19" s="271"/>
      <c r="AV19" s="25" t="s">
        <v>115</v>
      </c>
      <c r="AW19" s="166">
        <f>SUM(AW12:AW18)</f>
        <v>0</v>
      </c>
      <c r="AX19" s="271"/>
      <c r="AY19" s="25" t="s">
        <v>115</v>
      </c>
      <c r="AZ19" s="166">
        <f>SUM(AZ12:AZ18)</f>
        <v>0</v>
      </c>
      <c r="BA19" s="271"/>
      <c r="BB19" s="25" t="s">
        <v>115</v>
      </c>
      <c r="BC19" s="166">
        <f>SUM(BC12:BC18)</f>
        <v>0</v>
      </c>
      <c r="BD19" s="271"/>
      <c r="BE19" s="25" t="s">
        <v>115</v>
      </c>
      <c r="BF19" s="166">
        <f>SUM(BF12:BF18)</f>
        <v>0</v>
      </c>
    </row>
    <row r="20" spans="2:58" ht="15.75" customHeight="1" x14ac:dyDescent="0.25">
      <c r="T20" s="151" t="s">
        <v>12</v>
      </c>
      <c r="U20" s="155" t="e">
        <f>P32</f>
        <v>#DIV/0!</v>
      </c>
      <c r="V20" s="83" t="e">
        <f>SMALL(U16:U26,7)</f>
        <v>#DIV/0!</v>
      </c>
      <c r="Y20" s="273"/>
      <c r="Z20" s="272"/>
      <c r="AA20" s="29" t="s">
        <v>44</v>
      </c>
      <c r="AB20" s="164" t="e">
        <f>SUM(AB12,AB14,AB15,AB17)/AB19</f>
        <v>#DIV/0!</v>
      </c>
      <c r="AC20" s="272"/>
      <c r="AD20" s="29" t="s">
        <v>44</v>
      </c>
      <c r="AE20" s="164" t="e">
        <f>SUM(AE12,AE14,AE15,AE17)/AE19</f>
        <v>#DIV/0!</v>
      </c>
      <c r="AF20" s="272"/>
      <c r="AG20" s="29" t="s">
        <v>44</v>
      </c>
      <c r="AH20" s="164" t="e">
        <f>SUM(AH12,AH14,AH15,AH17)/AH19</f>
        <v>#DIV/0!</v>
      </c>
      <c r="AI20" s="272"/>
      <c r="AJ20" s="29" t="s">
        <v>44</v>
      </c>
      <c r="AK20" s="164" t="e">
        <f>SUM(AK12,AK14,AK15,AK17)/AK19</f>
        <v>#DIV/0!</v>
      </c>
      <c r="AL20" s="272"/>
      <c r="AM20" s="29" t="s">
        <v>44</v>
      </c>
      <c r="AN20" s="164" t="e">
        <f>SUM(AN12,AN14,AN15,AN17)/AN19</f>
        <v>#DIV/0!</v>
      </c>
      <c r="AO20" s="272"/>
      <c r="AP20" s="29" t="s">
        <v>44</v>
      </c>
      <c r="AQ20" s="164" t="e">
        <f>SUM(AQ12,AQ14,AQ15,AQ17)/AQ19</f>
        <v>#DIV/0!</v>
      </c>
      <c r="AR20" s="272"/>
      <c r="AS20" s="29" t="s">
        <v>44</v>
      </c>
      <c r="AT20" s="164" t="e">
        <f>SUM(AT12,AT14,AT15,AT17)/AT19</f>
        <v>#DIV/0!</v>
      </c>
      <c r="AU20" s="272"/>
      <c r="AV20" s="29" t="s">
        <v>44</v>
      </c>
      <c r="AW20" s="164" t="e">
        <f>SUM(AW12,AW14,AW15,AW17)/AW19</f>
        <v>#DIV/0!</v>
      </c>
      <c r="AX20" s="272"/>
      <c r="AY20" s="29" t="s">
        <v>44</v>
      </c>
      <c r="AZ20" s="164" t="e">
        <f>SUM(AZ12,AZ14,AZ15,AZ17)/AZ19</f>
        <v>#DIV/0!</v>
      </c>
      <c r="BA20" s="272"/>
      <c r="BB20" s="29" t="s">
        <v>44</v>
      </c>
      <c r="BC20" s="164" t="e">
        <f>SUM(BC12,BC14,BC15,BC17)/BC19</f>
        <v>#DIV/0!</v>
      </c>
      <c r="BD20" s="272"/>
      <c r="BE20" s="29" t="s">
        <v>44</v>
      </c>
      <c r="BF20" s="164" t="e">
        <f>SUM(BF12,BF14,BF15,BF17)/BF19</f>
        <v>#DIV/0!</v>
      </c>
    </row>
    <row r="21" spans="2:58" ht="15.75" customHeight="1" x14ac:dyDescent="0.25">
      <c r="T21" s="151" t="s">
        <v>13</v>
      </c>
      <c r="U21" s="155" t="e">
        <f>J32</f>
        <v>#DIV/0!</v>
      </c>
      <c r="V21" s="83" t="e">
        <f>SMALL(U16:U26,6)</f>
        <v>#DIV/0!</v>
      </c>
    </row>
    <row r="22" spans="2:58" ht="18" customHeight="1" x14ac:dyDescent="0.25">
      <c r="T22" s="151" t="s">
        <v>8</v>
      </c>
      <c r="U22" s="155" t="e">
        <f>D55</f>
        <v>#DIV/0!</v>
      </c>
      <c r="V22" s="51" t="e">
        <f>SMALL(U16:U26,7)</f>
        <v>#DIV/0!</v>
      </c>
      <c r="Y22" s="273" t="s">
        <v>70</v>
      </c>
      <c r="Z22" s="270" t="s">
        <v>6</v>
      </c>
      <c r="AA22" s="54" t="s">
        <v>27</v>
      </c>
      <c r="AB22" s="165">
        <f>COUNTIFS(JOURNAL!F:F,"3",JOURNAL!J:J,"TCDP",JOURNAL!O:O,"TP")</f>
        <v>0</v>
      </c>
      <c r="AC22" s="270" t="s">
        <v>7</v>
      </c>
      <c r="AD22" s="54" t="s">
        <v>27</v>
      </c>
      <c r="AE22" s="165">
        <f>COUNTIFS(JOURNAL!F:F,"3",JOURNAL!J:J,"OCDP",JOURNAL!O:O,"TP")</f>
        <v>0</v>
      </c>
      <c r="AF22" s="270" t="s">
        <v>9</v>
      </c>
      <c r="AG22" s="54" t="s">
        <v>27</v>
      </c>
      <c r="AH22" s="165">
        <f>COUNTIFS(JOURNAL!F:F,"3",JOURNAL!J:J,"TCDL",JOURNAL!O:O,"TP")</f>
        <v>0</v>
      </c>
      <c r="AI22" s="270" t="s">
        <v>10</v>
      </c>
      <c r="AJ22" s="54" t="s">
        <v>27</v>
      </c>
      <c r="AK22" s="165">
        <f>COUNTIFS(JOURNAL!F:F,"3",JOURNAL!J:J,"OCDL",JOURNAL!O:O,"TP")</f>
        <v>0</v>
      </c>
      <c r="AL22" s="270" t="s">
        <v>8</v>
      </c>
      <c r="AM22" s="54" t="s">
        <v>27</v>
      </c>
      <c r="AN22" s="165">
        <f>COUNTIFS(JOURNAL!F:F,"3",JOURNAL!J:J,"TCDW",JOURNAL!O:O,"TP")</f>
        <v>0</v>
      </c>
      <c r="AO22" s="270" t="s">
        <v>11</v>
      </c>
      <c r="AP22" s="54" t="s">
        <v>27</v>
      </c>
      <c r="AQ22" s="165">
        <f>COUNTIFS(JOURNAL!F:F,"3",JOURNAL!J:J,"OCDW",JOURNAL!O:O,"TP")</f>
        <v>0</v>
      </c>
      <c r="AR22" s="270" t="s">
        <v>12</v>
      </c>
      <c r="AS22" s="54" t="s">
        <v>27</v>
      </c>
      <c r="AT22" s="165">
        <f>COUNTIFS(JOURNAL!F:F,"3",JOURNAL!J:J,"TCDC",JOURNAL!O:O,"TP")</f>
        <v>0</v>
      </c>
      <c r="AU22" s="270" t="s">
        <v>13</v>
      </c>
      <c r="AV22" s="54" t="s">
        <v>27</v>
      </c>
      <c r="AW22" s="165">
        <f>COUNTIFS(JOURNAL!F:F,"3",JOURNAL!J:J,"OCDC",JOURNAL!O:O,"TP")</f>
        <v>0</v>
      </c>
      <c r="AX22" s="270" t="s">
        <v>14</v>
      </c>
      <c r="AY22" s="54" t="s">
        <v>27</v>
      </c>
      <c r="AZ22" s="165">
        <f>COUNTIFS(JOURNAL!F:F,"3",JOURNAL!J:J,"TCP",JOURNAL!O:O,"TP")</f>
        <v>0</v>
      </c>
      <c r="BA22" s="270" t="s">
        <v>15</v>
      </c>
      <c r="BB22" s="54" t="s">
        <v>27</v>
      </c>
      <c r="BC22" s="165">
        <f>COUNTIFS(JOURNAL!F:F,"3",JOURNAL!J:J,"OCP",JOURNAL!O:O,"TP")</f>
        <v>0</v>
      </c>
      <c r="BD22" s="270" t="s">
        <v>16</v>
      </c>
      <c r="BE22" s="54" t="s">
        <v>27</v>
      </c>
      <c r="BF22" s="165">
        <f>COUNTIFS(JOURNAL!F:F,"3",JOURNAL!J:J,"RE",JOURNAL!O:O,"TP")</f>
        <v>0</v>
      </c>
    </row>
    <row r="23" spans="2:58" ht="18" customHeight="1" x14ac:dyDescent="0.25">
      <c r="T23" s="151" t="s">
        <v>11</v>
      </c>
      <c r="U23" s="155" t="e">
        <f>J55</f>
        <v>#DIV/0!</v>
      </c>
      <c r="V23" s="51" t="e">
        <f>SMALL(U16:U26,4)</f>
        <v>#DIV/0!</v>
      </c>
      <c r="Y23" s="273"/>
      <c r="Z23" s="271"/>
      <c r="AA23" s="55" t="s">
        <v>29</v>
      </c>
      <c r="AB23" s="165">
        <f>COUNTIFS(JOURNAL!F:F,"3",JOURNAL!J:J,"TCDP",JOURNAL!O:O,"SL")</f>
        <v>0</v>
      </c>
      <c r="AC23" s="271"/>
      <c r="AD23" s="55" t="s">
        <v>29</v>
      </c>
      <c r="AE23" s="165">
        <f>COUNTIFS(JOURNAL!F:F,"3",JOURNAL!J:J,"OCDP",JOURNAL!O:O,"SL")</f>
        <v>0</v>
      </c>
      <c r="AF23" s="271"/>
      <c r="AG23" s="55" t="s">
        <v>29</v>
      </c>
      <c r="AH23" s="165">
        <f>COUNTIFS(JOURNAL!F:F,"3",JOURNAL!J:J,"TCDL",JOURNAL!O:O,"SL")</f>
        <v>0</v>
      </c>
      <c r="AI23" s="271"/>
      <c r="AJ23" s="55" t="s">
        <v>29</v>
      </c>
      <c r="AK23" s="165">
        <f>COUNTIFS(JOURNAL!F:F,"3",JOURNAL!J:J,"OCDL",JOURNAL!O:O,"SL")</f>
        <v>0</v>
      </c>
      <c r="AL23" s="271"/>
      <c r="AM23" s="55" t="s">
        <v>29</v>
      </c>
      <c r="AN23" s="165">
        <f>COUNTIFS(JOURNAL!F:F,"3",JOURNAL!J:J,"TCDW",JOURNAL!O:O,"SL")</f>
        <v>0</v>
      </c>
      <c r="AO23" s="271"/>
      <c r="AP23" s="55" t="s">
        <v>29</v>
      </c>
      <c r="AQ23" s="165">
        <f>COUNTIFS(JOURNAL!F:F,"3",JOURNAL!J:J,"OCDW",JOURNAL!O:O,"SL")</f>
        <v>0</v>
      </c>
      <c r="AR23" s="271"/>
      <c r="AS23" s="55" t="s">
        <v>29</v>
      </c>
      <c r="AT23" s="165">
        <f>COUNTIFS(JOURNAL!F:F,"3",JOURNAL!J:J,"TCDC",JOURNAL!O:O,"SL")</f>
        <v>0</v>
      </c>
      <c r="AU23" s="271"/>
      <c r="AV23" s="55" t="s">
        <v>29</v>
      </c>
      <c r="AW23" s="165">
        <f>COUNTIFS(JOURNAL!F:F,"3",JOURNAL!J:J,"OCDC",JOURNAL!O:O,"SL")</f>
        <v>0</v>
      </c>
      <c r="AX23" s="271"/>
      <c r="AY23" s="55" t="s">
        <v>29</v>
      </c>
      <c r="AZ23" s="165">
        <f>COUNTIFS(JOURNAL!F:F,"3",JOURNAL!J:J,"TCP",JOURNAL!O:O,"SL")</f>
        <v>0</v>
      </c>
      <c r="BA23" s="271"/>
      <c r="BB23" s="55" t="s">
        <v>29</v>
      </c>
      <c r="BC23" s="165">
        <f>COUNTIFS(JOURNAL!F:F,"3",JOURNAL!J:J,"OCP",JOURNAL!O:O,"SL")</f>
        <v>0</v>
      </c>
      <c r="BD23" s="271"/>
      <c r="BE23" s="55" t="s">
        <v>29</v>
      </c>
      <c r="BF23" s="165">
        <f>COUNTIFS(JOURNAL!F:F,"3",JOURNAL!J:J,"RE",JOURNAL!O:O,"SL")</f>
        <v>0</v>
      </c>
    </row>
    <row r="24" spans="2:58" ht="18.75" customHeight="1" x14ac:dyDescent="0.25">
      <c r="B24" s="267" t="s">
        <v>10</v>
      </c>
      <c r="C24" s="268"/>
      <c r="D24" s="268"/>
      <c r="E24" s="268"/>
      <c r="F24" s="269"/>
      <c r="H24" s="257" t="s">
        <v>13</v>
      </c>
      <c r="I24" s="258"/>
      <c r="J24" s="258"/>
      <c r="K24" s="258"/>
      <c r="L24" s="259"/>
      <c r="N24" s="257" t="s">
        <v>12</v>
      </c>
      <c r="O24" s="258"/>
      <c r="P24" s="258"/>
      <c r="Q24" s="258"/>
      <c r="R24" s="259"/>
      <c r="T24" s="151" t="s">
        <v>14</v>
      </c>
      <c r="U24" s="155" t="e">
        <f>D76</f>
        <v>#DIV/0!</v>
      </c>
      <c r="V24" s="52" t="e">
        <f>SMALL(U16:U26,3)</f>
        <v>#DIV/0!</v>
      </c>
      <c r="Y24" s="273"/>
      <c r="Z24" s="271"/>
      <c r="AA24" s="56" t="s">
        <v>32</v>
      </c>
      <c r="AB24" s="165">
        <f>COUNTIFS(JOURNAL!F:F,"3",JOURNAL!J:J,"TCDP",JOURNAL!O:O,"RF")</f>
        <v>0</v>
      </c>
      <c r="AC24" s="271"/>
      <c r="AD24" s="56" t="s">
        <v>32</v>
      </c>
      <c r="AE24" s="165">
        <f>COUNTIFS(JOURNAL!F:F,"3",JOURNAL!J:J,"OCDP",JOURNAL!O:O,"RF")</f>
        <v>0</v>
      </c>
      <c r="AF24" s="271"/>
      <c r="AG24" s="56" t="s">
        <v>32</v>
      </c>
      <c r="AH24" s="165">
        <f>COUNTIFS(JOURNAL!F:F,"3",JOURNAL!J:J,"TCDL",JOURNAL!O:O,"RF")</f>
        <v>0</v>
      </c>
      <c r="AI24" s="271"/>
      <c r="AJ24" s="56" t="s">
        <v>32</v>
      </c>
      <c r="AK24" s="165">
        <f>COUNTIFS(JOURNAL!F:F,"3",JOURNAL!J:J,"OCDL",JOURNAL!O:O,"RF")</f>
        <v>0</v>
      </c>
      <c r="AL24" s="271"/>
      <c r="AM24" s="56" t="s">
        <v>32</v>
      </c>
      <c r="AN24" s="165">
        <f>COUNTIFS(JOURNAL!F:F,"3",JOURNAL!J:J,"TCDW",JOURNAL!O:O,"RF")</f>
        <v>0</v>
      </c>
      <c r="AO24" s="271"/>
      <c r="AP24" s="56" t="s">
        <v>32</v>
      </c>
      <c r="AQ24" s="165">
        <f>COUNTIFS(JOURNAL!F:F,"3",JOURNAL!J:J,"OCDW",JOURNAL!O:O,"RF")</f>
        <v>0</v>
      </c>
      <c r="AR24" s="271"/>
      <c r="AS24" s="56" t="s">
        <v>32</v>
      </c>
      <c r="AT24" s="165">
        <f>COUNTIFS(JOURNAL!F:F,"3",JOURNAL!J:J,"TCDC",JOURNAL!O:O,"RF")</f>
        <v>0</v>
      </c>
      <c r="AU24" s="271"/>
      <c r="AV24" s="56" t="s">
        <v>32</v>
      </c>
      <c r="AW24" s="165">
        <f>COUNTIFS(JOURNAL!F:F,"3",JOURNAL!J:J,"OCDC",JOURNAL!O:O,"RF")</f>
        <v>0</v>
      </c>
      <c r="AX24" s="271"/>
      <c r="AY24" s="56" t="s">
        <v>32</v>
      </c>
      <c r="AZ24" s="165">
        <f>COUNTIFS(JOURNAL!F:F,"3",JOURNAL!J:J,"TCP",JOURNAL!O:O,"RF")</f>
        <v>0</v>
      </c>
      <c r="BA24" s="271"/>
      <c r="BB24" s="56" t="s">
        <v>32</v>
      </c>
      <c r="BC24" s="165">
        <f>COUNTIFS(JOURNAL!F:F,"3",JOURNAL!J:J,"OCP",JOURNAL!O:O,"RF")</f>
        <v>0</v>
      </c>
      <c r="BD24" s="271"/>
      <c r="BE24" s="56" t="s">
        <v>32</v>
      </c>
      <c r="BF24" s="165">
        <f>COUNTIFS(JOURNAL!F:F,"3",JOURNAL!J:J,"RE",JOURNAL!O:O,"RF")</f>
        <v>0</v>
      </c>
    </row>
    <row r="25" spans="2:58" ht="15.75" customHeight="1" x14ac:dyDescent="0.25">
      <c r="B25" s="260" t="s">
        <v>43</v>
      </c>
      <c r="C25" s="262">
        <f>COUNTIF(JOURNAL!J:J,"OCDL")</f>
        <v>0</v>
      </c>
      <c r="D25" s="263"/>
      <c r="E25" s="54" t="s">
        <v>27</v>
      </c>
      <c r="F25" s="48">
        <f>COUNTIFS(JOURNAL!J:J,"OCDL",JOURNAL!O:O,"TP")</f>
        <v>0</v>
      </c>
      <c r="H25" s="260" t="s">
        <v>43</v>
      </c>
      <c r="I25" s="262">
        <f>COUNTIF(JOURNAL!J:J,"OCDC")</f>
        <v>0</v>
      </c>
      <c r="J25" s="263"/>
      <c r="K25" s="54" t="s">
        <v>27</v>
      </c>
      <c r="L25" s="48">
        <f>COUNTIFS(JOURNAL!J:J,"OCDC",JOURNAL!O:O,"TP")</f>
        <v>0</v>
      </c>
      <c r="N25" s="260" t="s">
        <v>43</v>
      </c>
      <c r="O25" s="262">
        <f>COUNTIF(JOURNAL!J:J,"TCDC")</f>
        <v>0</v>
      </c>
      <c r="P25" s="263"/>
      <c r="Q25" s="54" t="s">
        <v>27</v>
      </c>
      <c r="R25" s="48">
        <f>COUNTIFS(JOURNAL!J:J,"TCDC",JOURNAL!O:O,"TP")</f>
        <v>0</v>
      </c>
      <c r="T25" s="151" t="s">
        <v>15</v>
      </c>
      <c r="U25" s="155" t="e">
        <f>P55</f>
        <v>#DIV/0!</v>
      </c>
      <c r="V25" s="84" t="e">
        <f>SMALL(U16:U26,2)</f>
        <v>#DIV/0!</v>
      </c>
      <c r="Y25" s="273"/>
      <c r="Z25" s="271"/>
      <c r="AA25" s="57" t="s">
        <v>30</v>
      </c>
      <c r="AB25" s="165">
        <f>COUNTIFS(JOURNAL!F:F,"3",JOURNAL!J:J,"TCDP",JOURNAL!O:O,"PS")</f>
        <v>0</v>
      </c>
      <c r="AC25" s="271"/>
      <c r="AD25" s="57" t="s">
        <v>30</v>
      </c>
      <c r="AE25" s="165">
        <f>COUNTIFS(JOURNAL!F:F,"3",JOURNAL!J:J,"OCDP",JOURNAL!O:O,"PS")</f>
        <v>0</v>
      </c>
      <c r="AF25" s="271"/>
      <c r="AG25" s="57" t="s">
        <v>30</v>
      </c>
      <c r="AH25" s="165">
        <f>COUNTIFS(JOURNAL!F:F,"3",JOURNAL!J:J,"TCDL",JOURNAL!O:O,"PS")</f>
        <v>0</v>
      </c>
      <c r="AI25" s="271"/>
      <c r="AJ25" s="57" t="s">
        <v>30</v>
      </c>
      <c r="AK25" s="165">
        <f>COUNTIFS(JOURNAL!F:F,"3",JOURNAL!J:J,"OCDL",JOURNAL!O:O,"PS")</f>
        <v>0</v>
      </c>
      <c r="AL25" s="271"/>
      <c r="AM25" s="57" t="s">
        <v>30</v>
      </c>
      <c r="AN25" s="165">
        <f>COUNTIFS(JOURNAL!F:F,"3",JOURNAL!J:J,"TCDW",JOURNAL!O:O,"PS")</f>
        <v>0</v>
      </c>
      <c r="AO25" s="271"/>
      <c r="AP25" s="57" t="s">
        <v>30</v>
      </c>
      <c r="AQ25" s="165">
        <f>COUNTIFS(JOURNAL!F:F,"3",JOURNAL!J:J,"OCDW",JOURNAL!O:O,"PS")</f>
        <v>0</v>
      </c>
      <c r="AR25" s="271"/>
      <c r="AS25" s="57" t="s">
        <v>30</v>
      </c>
      <c r="AT25" s="165">
        <f>COUNTIFS(JOURNAL!F:F,"3",JOURNAL!J:J,"TCDC",JOURNAL!O:O,"PS")</f>
        <v>0</v>
      </c>
      <c r="AU25" s="271"/>
      <c r="AV25" s="57" t="s">
        <v>30</v>
      </c>
      <c r="AW25" s="165">
        <f>COUNTIFS(JOURNAL!F:F,"3",JOURNAL!J:J,"OCDC",JOURNAL!O:O,"PS")</f>
        <v>0</v>
      </c>
      <c r="AX25" s="271"/>
      <c r="AY25" s="57" t="s">
        <v>30</v>
      </c>
      <c r="AZ25" s="165">
        <f>COUNTIFS(JOURNAL!F:F,"3",JOURNAL!J:J,"TCP",JOURNAL!O:O,"PS")</f>
        <v>0</v>
      </c>
      <c r="BA25" s="271"/>
      <c r="BB25" s="57" t="s">
        <v>30</v>
      </c>
      <c r="BC25" s="165">
        <f>COUNTIFS(JOURNAL!F:F,"3",JOURNAL!J:J,"OCP",JOURNAL!O:O,"PS")</f>
        <v>0</v>
      </c>
      <c r="BD25" s="271"/>
      <c r="BE25" s="57" t="s">
        <v>30</v>
      </c>
      <c r="BF25" s="165">
        <f>COUNTIFS(JOURNAL!F:F,"3",JOURNAL!J:J,"RE",JOURNAL!O:O,"PS")</f>
        <v>0</v>
      </c>
    </row>
    <row r="26" spans="2:58" ht="15.75" customHeight="1" x14ac:dyDescent="0.25">
      <c r="B26" s="261"/>
      <c r="C26" s="264"/>
      <c r="D26" s="265"/>
      <c r="E26" s="55" t="s">
        <v>29</v>
      </c>
      <c r="F26" s="48">
        <f>COUNTIFS(JOURNAL!J:J,"OCDL",JOURNAL!O:O,"SL")</f>
        <v>0</v>
      </c>
      <c r="H26" s="261"/>
      <c r="I26" s="264"/>
      <c r="J26" s="265"/>
      <c r="K26" s="55" t="s">
        <v>29</v>
      </c>
      <c r="L26" s="48">
        <f>COUNTIFS(JOURNAL!J:J,"OCDC",JOURNAL!O:O,"SL")</f>
        <v>0</v>
      </c>
      <c r="N26" s="261"/>
      <c r="O26" s="264"/>
      <c r="P26" s="265"/>
      <c r="Q26" s="55" t="s">
        <v>29</v>
      </c>
      <c r="R26" s="48">
        <f>COUNTIFS(JOURNAL!J:J,"TCDC",JOURNAL!O:O,"SL")</f>
        <v>0</v>
      </c>
      <c r="T26" s="151" t="s">
        <v>16</v>
      </c>
      <c r="U26" s="155" t="e">
        <f>J76</f>
        <v>#DIV/0!</v>
      </c>
      <c r="V26" s="85" t="e">
        <f>SMALL(U16:U26,1)</f>
        <v>#DIV/0!</v>
      </c>
      <c r="Y26" s="273"/>
      <c r="Z26" s="271"/>
      <c r="AA26" s="58" t="s">
        <v>31</v>
      </c>
      <c r="AB26" s="165">
        <f>COUNTIFS(JOURNAL!F:F,"3",JOURNAL!J:J,"TCDP",JOURNAL!O:O,"LS")</f>
        <v>0</v>
      </c>
      <c r="AC26" s="271"/>
      <c r="AD26" s="58" t="s">
        <v>31</v>
      </c>
      <c r="AE26" s="165">
        <f>COUNTIFS(JOURNAL!F:F,"3",JOURNAL!J:J,"OCDP",JOURNAL!O:O,"LS")</f>
        <v>0</v>
      </c>
      <c r="AF26" s="271"/>
      <c r="AG26" s="58" t="s">
        <v>31</v>
      </c>
      <c r="AH26" s="165">
        <f>COUNTIFS(JOURNAL!F:F,"3",JOURNAL!J:J,"TCDL",JOURNAL!O:O,"LS")</f>
        <v>0</v>
      </c>
      <c r="AI26" s="271"/>
      <c r="AJ26" s="58" t="s">
        <v>31</v>
      </c>
      <c r="AK26" s="165">
        <f>COUNTIFS(JOURNAL!F:F,"3",JOURNAL!J:J,"OCDL",JOURNAL!O:O,"LS")</f>
        <v>0</v>
      </c>
      <c r="AL26" s="271"/>
      <c r="AM26" s="58" t="s">
        <v>31</v>
      </c>
      <c r="AN26" s="165">
        <f>COUNTIFS(JOURNAL!F:F,"3",JOURNAL!J:J,"TCDW",JOURNAL!O:O,"LS")</f>
        <v>0</v>
      </c>
      <c r="AO26" s="271"/>
      <c r="AP26" s="58" t="s">
        <v>31</v>
      </c>
      <c r="AQ26" s="165">
        <f>COUNTIFS(JOURNAL!F:F,"3",JOURNAL!J:J,"OCDW",JOURNAL!O:O,"LS")</f>
        <v>0</v>
      </c>
      <c r="AR26" s="271"/>
      <c r="AS26" s="58" t="s">
        <v>31</v>
      </c>
      <c r="AT26" s="165">
        <f>COUNTIFS(JOURNAL!F:F,"3",JOURNAL!J:J,"TCDC",JOURNAL!O:O,"LS")</f>
        <v>0</v>
      </c>
      <c r="AU26" s="271"/>
      <c r="AV26" s="58" t="s">
        <v>31</v>
      </c>
      <c r="AW26" s="165">
        <f>COUNTIFS(JOURNAL!F:F,"3",JOURNAL!J:J,"OCDC",JOURNAL!O:O,"LS")</f>
        <v>0</v>
      </c>
      <c r="AX26" s="271"/>
      <c r="AY26" s="58" t="s">
        <v>31</v>
      </c>
      <c r="AZ26" s="165">
        <f>COUNTIFS(JOURNAL!F:F,"3",JOURNAL!J:J,"TCP",JOURNAL!O:O,"LS")</f>
        <v>0</v>
      </c>
      <c r="BA26" s="271"/>
      <c r="BB26" s="58" t="s">
        <v>31</v>
      </c>
      <c r="BC26" s="165">
        <f>COUNTIFS(JOURNAL!F:F,"3",JOURNAL!J:J,"OCP",JOURNAL!O:O,"LS")</f>
        <v>0</v>
      </c>
      <c r="BD26" s="271"/>
      <c r="BE26" s="58" t="s">
        <v>31</v>
      </c>
      <c r="BF26" s="165">
        <f>COUNTIFS(JOURNAL!F:F,"3",JOURNAL!J:J,"RE",JOURNAL!O:O,"LS")</f>
        <v>0</v>
      </c>
    </row>
    <row r="27" spans="2:58" ht="15.75" customHeight="1" x14ac:dyDescent="0.25">
      <c r="B27" s="260" t="s">
        <v>45</v>
      </c>
      <c r="C27" s="111" t="s">
        <v>36</v>
      </c>
      <c r="D27" s="48">
        <f>COUNTIFS(JOURNAL!J:J,"OCDL",JOURNAL!P:P,"SF")</f>
        <v>0</v>
      </c>
      <c r="E27" s="56" t="s">
        <v>32</v>
      </c>
      <c r="F27" s="48">
        <f>COUNTIFS(JOURNAL!J:J,"OCDL",JOURNAL!O:O,"RF")</f>
        <v>0</v>
      </c>
      <c r="H27" s="260" t="s">
        <v>45</v>
      </c>
      <c r="I27" s="111" t="s">
        <v>36</v>
      </c>
      <c r="J27" s="48">
        <f>COUNTIFS(JOURNAL!J:J,"OCDC",JOURNAL!P:P,"SF")</f>
        <v>0</v>
      </c>
      <c r="K27" s="56" t="s">
        <v>32</v>
      </c>
      <c r="L27" s="48">
        <f>COUNTIFS(JOURNAL!J:J,"OCDC",JOURNAL!O:O,"RF")</f>
        <v>0</v>
      </c>
      <c r="N27" s="260" t="s">
        <v>45</v>
      </c>
      <c r="O27" s="111" t="s">
        <v>36</v>
      </c>
      <c r="P27" s="48">
        <f>COUNTIFS(JOURNAL!J:J,"TCDC",JOURNAL!P:P,"SF")</f>
        <v>0</v>
      </c>
      <c r="Q27" s="56" t="s">
        <v>32</v>
      </c>
      <c r="R27" s="48">
        <f>COUNTIFS(JOURNAL!J:J,"TCDC",JOURNAL!O:O,"RF")</f>
        <v>0</v>
      </c>
      <c r="Y27" s="273"/>
      <c r="Z27" s="271"/>
      <c r="AA27" s="59" t="s">
        <v>33</v>
      </c>
      <c r="AB27" s="165">
        <f>COUNTIFS(JOURNAL!F:F,"3",JOURNAL!J:J,"TCDP",JOURNAL!O:O,"OT +")</f>
        <v>0</v>
      </c>
      <c r="AC27" s="271"/>
      <c r="AD27" s="59" t="s">
        <v>33</v>
      </c>
      <c r="AE27" s="165">
        <f>COUNTIFS(JOURNAL!F:F,"3",JOURNAL!J:J,"OCDP",JOURNAL!O:O,"OT +")</f>
        <v>0</v>
      </c>
      <c r="AF27" s="271"/>
      <c r="AG27" s="59" t="s">
        <v>33</v>
      </c>
      <c r="AH27" s="165">
        <f>COUNTIFS(JOURNAL!F:F,"3",JOURNAL!J:J,"TCDL",JOURNAL!O:O,"OT +")</f>
        <v>0</v>
      </c>
      <c r="AI27" s="271"/>
      <c r="AJ27" s="59" t="s">
        <v>33</v>
      </c>
      <c r="AK27" s="165">
        <f>COUNTIFS(JOURNAL!F:F,"3",JOURNAL!J:J,"OCDL",JOURNAL!O:O,"OT  +")</f>
        <v>0</v>
      </c>
      <c r="AL27" s="271"/>
      <c r="AM27" s="59" t="s">
        <v>33</v>
      </c>
      <c r="AN27" s="165">
        <f>COUNTIFS(JOURNAL!F:F,"3",JOURNAL!J:J,"TCDW",JOURNAL!O:O,"OT +")</f>
        <v>0</v>
      </c>
      <c r="AO27" s="271"/>
      <c r="AP27" s="59" t="s">
        <v>33</v>
      </c>
      <c r="AQ27" s="165">
        <f>COUNTIFS(JOURNAL!F:F,"3",JOURNAL!J:J,"OCDW",JOURNAL!O:O,"OT +")</f>
        <v>0</v>
      </c>
      <c r="AR27" s="271"/>
      <c r="AS27" s="59" t="s">
        <v>33</v>
      </c>
      <c r="AT27" s="165">
        <f>COUNTIFS(JOURNAL!F:F,"3",JOURNAL!J:J,"TCDC",JOURNAL!O:O,"OT +")</f>
        <v>0</v>
      </c>
      <c r="AU27" s="271"/>
      <c r="AV27" s="59" t="s">
        <v>33</v>
      </c>
      <c r="AW27" s="165">
        <f>COUNTIFS(JOURNAL!F:F,"3",JOURNAL!J:J,"OCDC",JOURNAL!O:O,"OT +")</f>
        <v>0</v>
      </c>
      <c r="AX27" s="271"/>
      <c r="AY27" s="59" t="s">
        <v>33</v>
      </c>
      <c r="AZ27" s="165">
        <f>COUNTIFS(JOURNAL!F:F,"3",JOURNAL!J:J,"TCP",JOURNAL!O:O,"OT +")</f>
        <v>0</v>
      </c>
      <c r="BA27" s="271"/>
      <c r="BB27" s="59" t="s">
        <v>33</v>
      </c>
      <c r="BC27" s="165">
        <f>COUNTIFS(JOURNAL!F:F,"3",JOURNAL!J:J,"OCP",JOURNAL!O:O,"OT +")</f>
        <v>0</v>
      </c>
      <c r="BD27" s="271"/>
      <c r="BE27" s="59" t="s">
        <v>33</v>
      </c>
      <c r="BF27" s="165">
        <f>COUNTIFS(JOURNAL!F:F,"3",JOURNAL!J:J,"RE",JOURNAL!O:O,"OT +")</f>
        <v>0</v>
      </c>
    </row>
    <row r="28" spans="2:58" ht="15.75" customHeight="1" x14ac:dyDescent="0.25">
      <c r="B28" s="266"/>
      <c r="C28" s="112" t="s">
        <v>28</v>
      </c>
      <c r="D28" s="48">
        <f>COUNTIFS(JOURNAL!J:J,"OCDL",JOURNAL!P:P,"TC")</f>
        <v>0</v>
      </c>
      <c r="E28" s="57" t="s">
        <v>30</v>
      </c>
      <c r="F28" s="48">
        <f>COUNTIFS(JOURNAL!J:J,"OCDL",JOURNAL!O:O,"PS")</f>
        <v>0</v>
      </c>
      <c r="H28" s="266"/>
      <c r="I28" s="112" t="s">
        <v>28</v>
      </c>
      <c r="J28" s="48">
        <f>COUNTIFS(JOURNAL!J:J,"OCDC",JOURNAL!P:P,"TC")</f>
        <v>0</v>
      </c>
      <c r="K28" s="57" t="s">
        <v>30</v>
      </c>
      <c r="L28" s="48">
        <f>COUNTIFS(JOURNAL!J:J,"OCDC",JOURNAL!O:O,"PS")</f>
        <v>0</v>
      </c>
      <c r="N28" s="266"/>
      <c r="O28" s="112" t="s">
        <v>28</v>
      </c>
      <c r="P28" s="48">
        <f>COUNTIFS(JOURNAL!J:J,"TCDC",JOURNAL!P:P,"TC")</f>
        <v>0</v>
      </c>
      <c r="Q28" s="57" t="s">
        <v>30</v>
      </c>
      <c r="R28" s="48">
        <f>COUNTIFS(JOURNAL!J:J,"TCDC",JOURNAL!O:O,"PS")</f>
        <v>0</v>
      </c>
      <c r="Y28" s="273"/>
      <c r="Z28" s="271"/>
      <c r="AA28" s="60" t="s">
        <v>34</v>
      </c>
      <c r="AB28" s="165">
        <f>COUNTIFS(JOURNAL!F:F,"3",JOURNAL!J:J,"TCDP",JOURNAL!O:O,"OT -")</f>
        <v>0</v>
      </c>
      <c r="AC28" s="271"/>
      <c r="AD28" s="60" t="s">
        <v>34</v>
      </c>
      <c r="AE28" s="165">
        <f>COUNTIFS(JOURNAL!F:F,"3",JOURNAL!J:J,"OCDP",JOURNAL!O:O,"OT -")</f>
        <v>0</v>
      </c>
      <c r="AF28" s="271"/>
      <c r="AG28" s="60" t="s">
        <v>34</v>
      </c>
      <c r="AH28" s="165">
        <f>COUNTIFS(JOURNAL!F:F,"3",JOURNAL!J:J,"TCDL",JOURNAL!O:O,"OT -")</f>
        <v>0</v>
      </c>
      <c r="AI28" s="271"/>
      <c r="AJ28" s="60" t="s">
        <v>34</v>
      </c>
      <c r="AK28" s="165">
        <f>COUNTIFS(JOURNAL!F:F,"3",JOURNAL!J:J,"OCDL",JOURNAL!O:O,"OT -")</f>
        <v>0</v>
      </c>
      <c r="AL28" s="271"/>
      <c r="AM28" s="60" t="s">
        <v>34</v>
      </c>
      <c r="AN28" s="165">
        <f>COUNTIFS(JOURNAL!F:F,"3",JOURNAL!J:J,"TCDW",JOURNAL!O:O,"OT -")</f>
        <v>0</v>
      </c>
      <c r="AO28" s="271"/>
      <c r="AP28" s="60" t="s">
        <v>34</v>
      </c>
      <c r="AQ28" s="165">
        <f>COUNTIFS(JOURNAL!F:F,"3",JOURNAL!J:J,"OCDW",JOURNAL!O:O,"OT -")</f>
        <v>0</v>
      </c>
      <c r="AR28" s="271"/>
      <c r="AS28" s="60" t="s">
        <v>34</v>
      </c>
      <c r="AT28" s="165">
        <f>COUNTIFS(JOURNAL!F:F,"3",JOURNAL!J:J,"TCDC",JOURNAL!O:O,"OT -")</f>
        <v>0</v>
      </c>
      <c r="AU28" s="271"/>
      <c r="AV28" s="60" t="s">
        <v>34</v>
      </c>
      <c r="AW28" s="165">
        <f>COUNTIFS(JOURNAL!F:F,"3",JOURNAL!J:J,"OCDC",JOURNAL!O:O,"OT -")</f>
        <v>0</v>
      </c>
      <c r="AX28" s="271"/>
      <c r="AY28" s="60" t="s">
        <v>34</v>
      </c>
      <c r="AZ28" s="165">
        <f>COUNTIFS(JOURNAL!F:F,"3",JOURNAL!J:J,"TCP",JOURNAL!O:O,"OT -")</f>
        <v>0</v>
      </c>
      <c r="BA28" s="271"/>
      <c r="BB28" s="60" t="s">
        <v>34</v>
      </c>
      <c r="BC28" s="165">
        <f>COUNTIFS(JOURNAL!F:F,"3",JOURNAL!J:J,"OCP",JOURNAL!O:O,"OT -")</f>
        <v>0</v>
      </c>
      <c r="BD28" s="271"/>
      <c r="BE28" s="60" t="s">
        <v>34</v>
      </c>
      <c r="BF28" s="165">
        <f>COUNTIFS(JOURNAL!F:F,"3",JOURNAL!J:J,"RE",JOURNAL!O:O,"OT -")</f>
        <v>0</v>
      </c>
    </row>
    <row r="29" spans="2:58" ht="15.75" customHeight="1" x14ac:dyDescent="0.25">
      <c r="B29" s="266"/>
      <c r="C29" s="114" t="s">
        <v>37</v>
      </c>
      <c r="D29" s="48">
        <f>COUNTIFS(JOURNAL!J:J,"OCDL",JOURNAL!P:P,"DC")</f>
        <v>0</v>
      </c>
      <c r="E29" s="58" t="s">
        <v>31</v>
      </c>
      <c r="F29" s="48">
        <f>COUNTIFS(JOURNAL!J:J,"OCDL",JOURNAL!O:O,"LS")</f>
        <v>0</v>
      </c>
      <c r="H29" s="266"/>
      <c r="I29" s="114" t="s">
        <v>37</v>
      </c>
      <c r="J29" s="48">
        <f>COUNTIFS(JOURNAL!J:J,"OCDC",JOURNAL!P:P,"DC")</f>
        <v>0</v>
      </c>
      <c r="K29" s="58" t="s">
        <v>31</v>
      </c>
      <c r="L29" s="48">
        <f>COUNTIFS(JOURNAL!J:J,"OCDC",JOURNAL!O:O,"LS")</f>
        <v>0</v>
      </c>
      <c r="N29" s="266"/>
      <c r="O29" s="114" t="s">
        <v>37</v>
      </c>
      <c r="P29" s="48">
        <f>COUNTIFS(JOURNAL!J:J,"TCDC",JOURNAL!P:P,"DC")</f>
        <v>0</v>
      </c>
      <c r="Q29" s="58" t="s">
        <v>31</v>
      </c>
      <c r="R29" s="48">
        <f>COUNTIFS(JOURNAL!J:J,"TCDC",JOURNAL!O:O,"LS")</f>
        <v>0</v>
      </c>
      <c r="Y29" s="273"/>
      <c r="Z29" s="271"/>
      <c r="AA29" s="25" t="s">
        <v>115</v>
      </c>
      <c r="AB29" s="166">
        <f>SUM(AB22:AB28)</f>
        <v>0</v>
      </c>
      <c r="AC29" s="271"/>
      <c r="AD29" s="25" t="s">
        <v>115</v>
      </c>
      <c r="AE29" s="166">
        <f>SUM(AE22:AE28)</f>
        <v>0</v>
      </c>
      <c r="AF29" s="271"/>
      <c r="AG29" s="25" t="s">
        <v>115</v>
      </c>
      <c r="AH29" s="166">
        <f>SUM(AH22:AH28)</f>
        <v>0</v>
      </c>
      <c r="AI29" s="271"/>
      <c r="AJ29" s="25" t="s">
        <v>115</v>
      </c>
      <c r="AK29" s="166">
        <f>SUM(AK22:AK28)</f>
        <v>0</v>
      </c>
      <c r="AL29" s="271"/>
      <c r="AM29" s="25" t="s">
        <v>115</v>
      </c>
      <c r="AN29" s="166">
        <f>SUM(AN22:AN28)</f>
        <v>0</v>
      </c>
      <c r="AO29" s="271"/>
      <c r="AP29" s="25" t="s">
        <v>115</v>
      </c>
      <c r="AQ29" s="166">
        <f>SUM(AQ22:AQ28)</f>
        <v>0</v>
      </c>
      <c r="AR29" s="271"/>
      <c r="AS29" s="25" t="s">
        <v>115</v>
      </c>
      <c r="AT29" s="166">
        <f>SUM(AT22:AT28)</f>
        <v>0</v>
      </c>
      <c r="AU29" s="271"/>
      <c r="AV29" s="25" t="s">
        <v>115</v>
      </c>
      <c r="AW29" s="166">
        <f>SUM(AW22:AW28)</f>
        <v>0</v>
      </c>
      <c r="AX29" s="271"/>
      <c r="AY29" s="25" t="s">
        <v>115</v>
      </c>
      <c r="AZ29" s="166">
        <f>SUM(AZ22:AZ28)</f>
        <v>0</v>
      </c>
      <c r="BA29" s="271"/>
      <c r="BB29" s="25" t="s">
        <v>115</v>
      </c>
      <c r="BC29" s="166">
        <f>SUM(BC22:BC28)</f>
        <v>0</v>
      </c>
      <c r="BD29" s="271"/>
      <c r="BE29" s="25" t="s">
        <v>115</v>
      </c>
      <c r="BF29" s="166">
        <f>SUM(BF22:BF28)</f>
        <v>0</v>
      </c>
    </row>
    <row r="30" spans="2:58" ht="15.75" customHeight="1" x14ac:dyDescent="0.25">
      <c r="B30" s="266"/>
      <c r="C30" s="115" t="s">
        <v>39</v>
      </c>
      <c r="D30" s="48">
        <f>COUNTIFS(JOURNAL!J:J,"OCDL",JOURNAL!P:P,"RNG")</f>
        <v>0</v>
      </c>
      <c r="E30" s="59" t="s">
        <v>33</v>
      </c>
      <c r="F30" s="48">
        <f>COUNTIFS(JOURNAL!J:J,"OCDL",JOURNAL!O:O,"OT +")</f>
        <v>0</v>
      </c>
      <c r="H30" s="266"/>
      <c r="I30" s="115" t="s">
        <v>39</v>
      </c>
      <c r="J30" s="48">
        <f>COUNTIFS(JOURNAL!J:J,"OCDC",JOURNAL!P:P,"RNG")</f>
        <v>0</v>
      </c>
      <c r="K30" s="59" t="s">
        <v>33</v>
      </c>
      <c r="L30" s="48">
        <f>COUNTIFS(JOURNAL!J:J,"OCDC",JOURNAL!O:O,"OT +")</f>
        <v>0</v>
      </c>
      <c r="N30" s="266"/>
      <c r="O30" s="115" t="s">
        <v>39</v>
      </c>
      <c r="P30" s="48">
        <f>COUNTIFS(JOURNAL!J:J,"TCDC",JOURNAL!P:P,"RNG")</f>
        <v>0</v>
      </c>
      <c r="Q30" s="59" t="s">
        <v>33</v>
      </c>
      <c r="R30" s="48">
        <f>COUNTIFS(JOURNAL!J:J,"TCDC",JOURNAL!O:O,"OT +")</f>
        <v>0</v>
      </c>
      <c r="Y30" s="273"/>
      <c r="Z30" s="272"/>
      <c r="AA30" s="29" t="s">
        <v>44</v>
      </c>
      <c r="AB30" s="164" t="e">
        <f>SUM(AB22,AB24,AB25,AB27)/AB29</f>
        <v>#DIV/0!</v>
      </c>
      <c r="AC30" s="272"/>
      <c r="AD30" s="29" t="s">
        <v>44</v>
      </c>
      <c r="AE30" s="164" t="e">
        <f>SUM(AE22,AE24,AE25,AE27)/AE29</f>
        <v>#DIV/0!</v>
      </c>
      <c r="AF30" s="272"/>
      <c r="AG30" s="29" t="s">
        <v>44</v>
      </c>
      <c r="AH30" s="164" t="e">
        <f>SUM(AH22,AH24,AH25,AH27)/AH29</f>
        <v>#DIV/0!</v>
      </c>
      <c r="AI30" s="272"/>
      <c r="AJ30" s="29" t="s">
        <v>44</v>
      </c>
      <c r="AK30" s="164" t="e">
        <f>SUM(AK22,AK24,AK25,AK27)/AK29</f>
        <v>#DIV/0!</v>
      </c>
      <c r="AL30" s="272"/>
      <c r="AM30" s="29" t="s">
        <v>44</v>
      </c>
      <c r="AN30" s="164" t="e">
        <f>SUM(AN22,AN24,AN25,AN27)/AN29</f>
        <v>#DIV/0!</v>
      </c>
      <c r="AO30" s="272"/>
      <c r="AP30" s="29" t="s">
        <v>44</v>
      </c>
      <c r="AQ30" s="164" t="e">
        <f>SUM(AQ22,AQ24,AQ25,AQ27)/AQ29</f>
        <v>#DIV/0!</v>
      </c>
      <c r="AR30" s="272"/>
      <c r="AS30" s="29" t="s">
        <v>44</v>
      </c>
      <c r="AT30" s="164" t="e">
        <f>SUM(AT22,AT24,AT25,AT27)/AT29</f>
        <v>#DIV/0!</v>
      </c>
      <c r="AU30" s="272"/>
      <c r="AV30" s="29" t="s">
        <v>44</v>
      </c>
      <c r="AW30" s="164" t="e">
        <f>SUM(AW22,AW24,AW25,AW27)/AW29</f>
        <v>#DIV/0!</v>
      </c>
      <c r="AX30" s="272"/>
      <c r="AY30" s="29" t="s">
        <v>44</v>
      </c>
      <c r="AZ30" s="164" t="e">
        <f>SUM(AZ22,AZ24,AZ25,AZ27)/AZ29</f>
        <v>#DIV/0!</v>
      </c>
      <c r="BA30" s="272"/>
      <c r="BB30" s="29" t="s">
        <v>44</v>
      </c>
      <c r="BC30" s="164" t="e">
        <f>SUM(BC22,BC24,BC25,BC27)/BC29</f>
        <v>#DIV/0!</v>
      </c>
      <c r="BD30" s="272"/>
      <c r="BE30" s="29" t="s">
        <v>44</v>
      </c>
      <c r="BF30" s="164" t="e">
        <f>SUM(BF22,BF24,BF25,BF27)/BF29</f>
        <v>#DIV/0!</v>
      </c>
    </row>
    <row r="31" spans="2:58" ht="15.75" customHeight="1" x14ac:dyDescent="0.25">
      <c r="B31" s="266"/>
      <c r="C31" s="116" t="s">
        <v>38</v>
      </c>
      <c r="D31" s="48">
        <f>COUNTIFS(JOURNAL!J:J,"OCDL",JOURNAL!P:P,"Keep Went")</f>
        <v>0</v>
      </c>
      <c r="E31" s="60" t="s">
        <v>34</v>
      </c>
      <c r="F31" s="48">
        <f>COUNTIFS(JOURNAL!J:J,"OCDL",JOURNAL!O:O,"OT -")</f>
        <v>0</v>
      </c>
      <c r="H31" s="266"/>
      <c r="I31" s="116" t="s">
        <v>38</v>
      </c>
      <c r="J31" s="48">
        <f>COUNTIFS(JOURNAL!J:J,"OCDC",JOURNAL!P:P,"Keep Went")</f>
        <v>0</v>
      </c>
      <c r="K31" s="60" t="s">
        <v>34</v>
      </c>
      <c r="L31" s="48">
        <f>COUNTIFS(JOURNAL!J:J,"OCDC",JOURNAL!O:O,"OT -")</f>
        <v>0</v>
      </c>
      <c r="N31" s="266"/>
      <c r="O31" s="116" t="s">
        <v>38</v>
      </c>
      <c r="P31" s="48">
        <f>COUNTIFS(JOURNAL!J:J,"TCDC",JOURNAL!P:P,"Keep Went")</f>
        <v>0</v>
      </c>
      <c r="Q31" s="60" t="s">
        <v>34</v>
      </c>
      <c r="R31" s="48">
        <f>COUNTIFS(JOURNAL!J:J,"TCDC",JOURNAL!O:O,"OT -")</f>
        <v>0</v>
      </c>
    </row>
    <row r="32" spans="2:58" ht="19.5" customHeight="1" x14ac:dyDescent="0.25">
      <c r="B32" s="261"/>
      <c r="C32" s="121" t="s">
        <v>44</v>
      </c>
      <c r="D32" s="155" t="e">
        <f>SUM(F25,F27,F28,F30)/C25</f>
        <v>#DIV/0!</v>
      </c>
      <c r="E32" s="121" t="s">
        <v>159</v>
      </c>
      <c r="F32" s="155">
        <f>SUMIF(JOURNAL!J:J,"OCDL",JOURNAL!Q:Q)</f>
        <v>0</v>
      </c>
      <c r="H32" s="261"/>
      <c r="I32" s="121" t="s">
        <v>44</v>
      </c>
      <c r="J32" s="155" t="e">
        <f>SUM(L25,L27,L28,L30)/I25</f>
        <v>#DIV/0!</v>
      </c>
      <c r="K32" s="121" t="s">
        <v>159</v>
      </c>
      <c r="L32" s="155">
        <f>SUMIF(JOURNAL!J:J,"OCDC",JOURNAL!Q:Q)</f>
        <v>0</v>
      </c>
      <c r="N32" s="261"/>
      <c r="O32" s="121" t="s">
        <v>44</v>
      </c>
      <c r="P32" s="155" t="e">
        <f>SUM(R25,R27,R28,R30)/O25</f>
        <v>#DIV/0!</v>
      </c>
      <c r="Q32" s="121" t="s">
        <v>159</v>
      </c>
      <c r="R32" s="155">
        <f>SUMIF(JOURNAL!J:J,"TCDC",JOURNAL!Q:Q)</f>
        <v>0</v>
      </c>
      <c r="Y32" s="273" t="s">
        <v>71</v>
      </c>
      <c r="Z32" s="270" t="s">
        <v>6</v>
      </c>
      <c r="AA32" s="54" t="s">
        <v>27</v>
      </c>
      <c r="AB32" s="165">
        <f>COUNTIFS(JOURNAL!F:F,"4",JOURNAL!J:J,"TCDP",JOURNAL!O:O,"TP")</f>
        <v>0</v>
      </c>
      <c r="AC32" s="270" t="s">
        <v>7</v>
      </c>
      <c r="AD32" s="54" t="s">
        <v>27</v>
      </c>
      <c r="AE32" s="165">
        <f>COUNTIFS(JOURNAL!F:F,"4",JOURNAL!J:J,"OCDP",JOURNAL!O:O,"TP")</f>
        <v>0</v>
      </c>
      <c r="AF32" s="270" t="s">
        <v>9</v>
      </c>
      <c r="AG32" s="54" t="s">
        <v>27</v>
      </c>
      <c r="AH32" s="165">
        <f>COUNTIFS(JOURNAL!F:F,"4",JOURNAL!J:J,"TCDL",JOURNAL!O:O,"TP")</f>
        <v>0</v>
      </c>
      <c r="AI32" s="270" t="s">
        <v>10</v>
      </c>
      <c r="AJ32" s="54" t="s">
        <v>27</v>
      </c>
      <c r="AK32" s="165">
        <f>COUNTIFS(JOURNAL!F:F,"4",JOURNAL!J:J,"OCDL",JOURNAL!O:O,"TP")</f>
        <v>0</v>
      </c>
      <c r="AL32" s="270" t="s">
        <v>8</v>
      </c>
      <c r="AM32" s="54" t="s">
        <v>27</v>
      </c>
      <c r="AN32" s="165">
        <f>COUNTIFS(JOURNAL!F:F,"4",JOURNAL!J:J,"TCDW",JOURNAL!O:O,"TP")</f>
        <v>0</v>
      </c>
      <c r="AO32" s="270" t="s">
        <v>11</v>
      </c>
      <c r="AP32" s="54" t="s">
        <v>27</v>
      </c>
      <c r="AQ32" s="165">
        <f>COUNTIFS(JOURNAL!F:F,"4",JOURNAL!J:J,"OCDW",JOURNAL!O:O,"TP")</f>
        <v>0</v>
      </c>
      <c r="AR32" s="270" t="s">
        <v>12</v>
      </c>
      <c r="AS32" s="54" t="s">
        <v>27</v>
      </c>
      <c r="AT32" s="165">
        <f>COUNTIFS(JOURNAL!F:F,"4",JOURNAL!J:J,"TCDC",JOURNAL!O:O,"TP")</f>
        <v>0</v>
      </c>
      <c r="AU32" s="270" t="s">
        <v>13</v>
      </c>
      <c r="AV32" s="54" t="s">
        <v>27</v>
      </c>
      <c r="AW32" s="165">
        <f>COUNTIFS(JOURNAL!F:F,"4",JOURNAL!J:J,"OCDC",JOURNAL!O:O,"TP")</f>
        <v>0</v>
      </c>
      <c r="AX32" s="270" t="s">
        <v>14</v>
      </c>
      <c r="AY32" s="54" t="s">
        <v>27</v>
      </c>
      <c r="AZ32" s="165">
        <f>COUNTIFS(JOURNAL!F:F,"4",JOURNAL!J:J,"TCP",JOURNAL!O:O,"TP")</f>
        <v>0</v>
      </c>
      <c r="BA32" s="270" t="s">
        <v>15</v>
      </c>
      <c r="BB32" s="54" t="s">
        <v>27</v>
      </c>
      <c r="BC32" s="165">
        <f>COUNTIFS(JOURNAL!F:F,"4",JOURNAL!J:J,"OCP",JOURNAL!O:O,"TP")</f>
        <v>0</v>
      </c>
      <c r="BD32" s="270" t="s">
        <v>16</v>
      </c>
      <c r="BE32" s="54" t="s">
        <v>27</v>
      </c>
      <c r="BF32" s="165">
        <f>COUNTIFS(JOURNAL!F:F,"4",JOURNAL!J:J,"RE",JOURNAL!O:O,"TP")</f>
        <v>0</v>
      </c>
    </row>
    <row r="33" spans="2:58" ht="15.75" customHeight="1" x14ac:dyDescent="0.25">
      <c r="Y33" s="273"/>
      <c r="Z33" s="271"/>
      <c r="AA33" s="55" t="s">
        <v>29</v>
      </c>
      <c r="AB33" s="165">
        <f>COUNTIFS(JOURNAL!F:F,"4",JOURNAL!J:J,"TCDP",JOURNAL!O:O,"SL")</f>
        <v>0</v>
      </c>
      <c r="AC33" s="271"/>
      <c r="AD33" s="55" t="s">
        <v>29</v>
      </c>
      <c r="AE33" s="165">
        <f>COUNTIFS(JOURNAL!F:F,"4",JOURNAL!J:J,"OCDP",JOURNAL!O:O,"SL")</f>
        <v>0</v>
      </c>
      <c r="AF33" s="271"/>
      <c r="AG33" s="55" t="s">
        <v>29</v>
      </c>
      <c r="AH33" s="165">
        <f>COUNTIFS(JOURNAL!F:F,"4",JOURNAL!J:J,"TCDL",JOURNAL!O:O,"SL")</f>
        <v>0</v>
      </c>
      <c r="AI33" s="271"/>
      <c r="AJ33" s="55" t="s">
        <v>29</v>
      </c>
      <c r="AK33" s="165">
        <f>COUNTIFS(JOURNAL!F:F,"4",JOURNAL!J:J,"OCDL",JOURNAL!O:O,"SL")</f>
        <v>0</v>
      </c>
      <c r="AL33" s="271"/>
      <c r="AM33" s="55" t="s">
        <v>29</v>
      </c>
      <c r="AN33" s="165">
        <f>COUNTIFS(JOURNAL!F:F,"4",JOURNAL!J:J,"TCDW",JOURNAL!O:O,"SL")</f>
        <v>0</v>
      </c>
      <c r="AO33" s="271"/>
      <c r="AP33" s="55" t="s">
        <v>29</v>
      </c>
      <c r="AQ33" s="165">
        <f>COUNTIFS(JOURNAL!F:F,"4",JOURNAL!J:J,"OCDW",JOURNAL!O:O,"SL")</f>
        <v>0</v>
      </c>
      <c r="AR33" s="271"/>
      <c r="AS33" s="55" t="s">
        <v>29</v>
      </c>
      <c r="AT33" s="165">
        <f>COUNTIFS(JOURNAL!F:F,"4",JOURNAL!J:J,"TCDC",JOURNAL!O:O,"SL")</f>
        <v>0</v>
      </c>
      <c r="AU33" s="271"/>
      <c r="AV33" s="55" t="s">
        <v>29</v>
      </c>
      <c r="AW33" s="165">
        <f>COUNTIFS(JOURNAL!F:F,"4",JOURNAL!J:J,"OCDC",JOURNAL!O:O,"SL")</f>
        <v>0</v>
      </c>
      <c r="AX33" s="271"/>
      <c r="AY33" s="55" t="s">
        <v>29</v>
      </c>
      <c r="AZ33" s="165">
        <f>COUNTIFS(JOURNAL!F:F,"",JOURNAL!J:J,"TCP",JOURNAL!O:O,"SL")</f>
        <v>0</v>
      </c>
      <c r="BA33" s="271"/>
      <c r="BB33" s="55" t="s">
        <v>29</v>
      </c>
      <c r="BC33" s="165">
        <f>COUNTIFS(JOURNAL!F:F,"4",JOURNAL!J:J,"OCP",JOURNAL!O:O,"SL")</f>
        <v>0</v>
      </c>
      <c r="BD33" s="271"/>
      <c r="BE33" s="55" t="s">
        <v>29</v>
      </c>
      <c r="BF33" s="165">
        <f>COUNTIFS(JOURNAL!F:F,"4",JOURNAL!J:J,"RE",JOURNAL!O:O,"SL")</f>
        <v>0</v>
      </c>
    </row>
    <row r="34" spans="2:58" ht="15.75" customHeight="1" x14ac:dyDescent="0.25">
      <c r="Y34" s="273"/>
      <c r="Z34" s="271"/>
      <c r="AA34" s="56" t="s">
        <v>32</v>
      </c>
      <c r="AB34" s="165">
        <f>COUNTIFS(JOURNAL!F:F,"4",JOURNAL!J:J,"TCDP",JOURNAL!O:O,"RF")</f>
        <v>0</v>
      </c>
      <c r="AC34" s="271"/>
      <c r="AD34" s="56" t="s">
        <v>32</v>
      </c>
      <c r="AE34" s="165">
        <f>COUNTIFS(JOURNAL!F:F,"4",JOURNAL!J:J,"OCDP",JOURNAL!O:O,"RF")</f>
        <v>0</v>
      </c>
      <c r="AF34" s="271"/>
      <c r="AG34" s="56" t="s">
        <v>32</v>
      </c>
      <c r="AH34" s="165">
        <f>COUNTIFS(JOURNAL!F:F,"4",JOURNAL!J:J,"TCDL",JOURNAL!O:O,"RF")</f>
        <v>0</v>
      </c>
      <c r="AI34" s="271"/>
      <c r="AJ34" s="56" t="s">
        <v>32</v>
      </c>
      <c r="AK34" s="165">
        <f>COUNTIFS(JOURNAL!F:F,"4",JOURNAL!J:J,"OCDL",JOURNAL!O:O,"RF")</f>
        <v>0</v>
      </c>
      <c r="AL34" s="271"/>
      <c r="AM34" s="56" t="s">
        <v>32</v>
      </c>
      <c r="AN34" s="165">
        <f>COUNTIFS(JOURNAL!F:F,"4",JOURNAL!J:J,"TCDW",JOURNAL!O:O,"RF")</f>
        <v>0</v>
      </c>
      <c r="AO34" s="271"/>
      <c r="AP34" s="56" t="s">
        <v>32</v>
      </c>
      <c r="AQ34" s="165">
        <f>COUNTIFS(JOURNAL!F:F,"4",JOURNAL!J:J,"OCDW",JOURNAL!O:O,"RF")</f>
        <v>0</v>
      </c>
      <c r="AR34" s="271"/>
      <c r="AS34" s="56" t="s">
        <v>32</v>
      </c>
      <c r="AT34" s="165">
        <f>COUNTIFS(JOURNAL!F:F,"4",JOURNAL!J:J,"TCDC",JOURNAL!O:O,"RF")</f>
        <v>0</v>
      </c>
      <c r="AU34" s="271"/>
      <c r="AV34" s="56" t="s">
        <v>32</v>
      </c>
      <c r="AW34" s="165">
        <f>COUNTIFS(JOURNAL!F:F,"4",JOURNAL!J:J,"OCDC",JOURNAL!O:O,"RF")</f>
        <v>0</v>
      </c>
      <c r="AX34" s="271"/>
      <c r="AY34" s="56" t="s">
        <v>32</v>
      </c>
      <c r="AZ34" s="165">
        <f>COUNTIFS(JOURNAL!F:F,"4",JOURNAL!J:J,"TCP",JOURNAL!O:O,"RF")</f>
        <v>0</v>
      </c>
      <c r="BA34" s="271"/>
      <c r="BB34" s="56" t="s">
        <v>32</v>
      </c>
      <c r="BC34" s="165">
        <f>COUNTIFS(JOURNAL!F:F,"4",JOURNAL!J:J,"OCP",JOURNAL!O:O,"RF")</f>
        <v>0</v>
      </c>
      <c r="BD34" s="271"/>
      <c r="BE34" s="56" t="s">
        <v>32</v>
      </c>
      <c r="BF34" s="165">
        <f>COUNTIFS(JOURNAL!F:F,"4",JOURNAL!J:J,"RE",JOURNAL!O:O,"RF")</f>
        <v>0</v>
      </c>
    </row>
    <row r="35" spans="2:58" ht="18.75" customHeight="1" x14ac:dyDescent="0.25">
      <c r="Y35" s="273"/>
      <c r="Z35" s="271"/>
      <c r="AA35" s="57" t="s">
        <v>30</v>
      </c>
      <c r="AB35" s="165">
        <f>COUNTIFS(JOURNAL!F:F,"4",JOURNAL!J:J,"TCDP",JOURNAL!O:O,"PS")</f>
        <v>0</v>
      </c>
      <c r="AC35" s="271"/>
      <c r="AD35" s="57" t="s">
        <v>30</v>
      </c>
      <c r="AE35" s="165">
        <f>COUNTIFS(JOURNAL!F:F,"4",JOURNAL!J:J,"OCDP",JOURNAL!O:O,"PS")</f>
        <v>0</v>
      </c>
      <c r="AF35" s="271"/>
      <c r="AG35" s="57" t="s">
        <v>30</v>
      </c>
      <c r="AH35" s="165">
        <f>COUNTIFS(JOURNAL!F:F,"4",JOURNAL!J:J,"TCDL",JOURNAL!O:O,"PS")</f>
        <v>0</v>
      </c>
      <c r="AI35" s="271"/>
      <c r="AJ35" s="57" t="s">
        <v>30</v>
      </c>
      <c r="AK35" s="165">
        <f>COUNTIFS(JOURNAL!F:F,"4",JOURNAL!J:J,"OCDL",JOURNAL!O:O,"PS")</f>
        <v>0</v>
      </c>
      <c r="AL35" s="271"/>
      <c r="AM35" s="57" t="s">
        <v>30</v>
      </c>
      <c r="AN35" s="165">
        <f>COUNTIFS(JOURNAL!F:F,"4",JOURNAL!J:J,"TCDW",JOURNAL!O:O,"PS")</f>
        <v>0</v>
      </c>
      <c r="AO35" s="271"/>
      <c r="AP35" s="57" t="s">
        <v>30</v>
      </c>
      <c r="AQ35" s="165">
        <f>COUNTIFS(JOURNAL!F:F,"4",JOURNAL!J:J,"OCDW",JOURNAL!O:O,"PS")</f>
        <v>0</v>
      </c>
      <c r="AR35" s="271"/>
      <c r="AS35" s="57" t="s">
        <v>30</v>
      </c>
      <c r="AT35" s="165">
        <f>COUNTIFS(JOURNAL!F:F,"4",JOURNAL!J:J,"TCDC",JOURNAL!O:O,"PS")</f>
        <v>0</v>
      </c>
      <c r="AU35" s="271"/>
      <c r="AV35" s="57" t="s">
        <v>30</v>
      </c>
      <c r="AW35" s="165">
        <f>COUNTIFS(JOURNAL!F:F,"4",JOURNAL!J:J,"OCDC",JOURNAL!O:O,"PS")</f>
        <v>0</v>
      </c>
      <c r="AX35" s="271"/>
      <c r="AY35" s="57" t="s">
        <v>30</v>
      </c>
      <c r="AZ35" s="165">
        <f>COUNTIFS(JOURNAL!F:F,"4",JOURNAL!J:J,"TCP",JOURNAL!O:O,"PS")</f>
        <v>0</v>
      </c>
      <c r="BA35" s="271"/>
      <c r="BB35" s="57" t="s">
        <v>30</v>
      </c>
      <c r="BC35" s="165">
        <f>COUNTIFS(JOURNAL!F:F,"4",JOURNAL!J:J,"OCP",JOURNAL!O:O,"PS")</f>
        <v>0</v>
      </c>
      <c r="BD35" s="271"/>
      <c r="BE35" s="57" t="s">
        <v>30</v>
      </c>
      <c r="BF35" s="165">
        <f>COUNTIFS(JOURNAL!F:F,"4",JOURNAL!J:J,"RE",JOURNAL!O:O,"PS")</f>
        <v>0</v>
      </c>
    </row>
    <row r="36" spans="2:58" ht="15.75" customHeight="1" x14ac:dyDescent="0.25">
      <c r="Y36" s="273"/>
      <c r="Z36" s="271"/>
      <c r="AA36" s="58" t="s">
        <v>31</v>
      </c>
      <c r="AB36" s="165">
        <f>COUNTIFS(JOURNAL!F:F,"4",JOURNAL!J:J,"TCDP",JOURNAL!O:O,"LS")</f>
        <v>0</v>
      </c>
      <c r="AC36" s="271"/>
      <c r="AD36" s="58" t="s">
        <v>31</v>
      </c>
      <c r="AE36" s="165">
        <f>COUNTIFS(JOURNAL!F:F,"4",JOURNAL!J:J,"OCDP",JOURNAL!O:O,"LS")</f>
        <v>0</v>
      </c>
      <c r="AF36" s="271"/>
      <c r="AG36" s="58" t="s">
        <v>31</v>
      </c>
      <c r="AH36" s="165">
        <f>COUNTIFS(JOURNAL!F:F,"4",JOURNAL!J:J,"TCDL",JOURNAL!O:O,"LS")</f>
        <v>0</v>
      </c>
      <c r="AI36" s="271"/>
      <c r="AJ36" s="58" t="s">
        <v>31</v>
      </c>
      <c r="AK36" s="165">
        <f>COUNTIFS(JOURNAL!F:F,"4",JOURNAL!J:J,"OCDL",JOURNAL!O:O,"LS")</f>
        <v>0</v>
      </c>
      <c r="AL36" s="271"/>
      <c r="AM36" s="58" t="s">
        <v>31</v>
      </c>
      <c r="AN36" s="165">
        <f>COUNTIFS(JOURNAL!F:F,"4",JOURNAL!J:J,"TCDW",JOURNAL!O:O,"LS")</f>
        <v>0</v>
      </c>
      <c r="AO36" s="271"/>
      <c r="AP36" s="58" t="s">
        <v>31</v>
      </c>
      <c r="AQ36" s="165">
        <f>COUNTIFS(JOURNAL!F:F,"4",JOURNAL!J:J,"OCDW",JOURNAL!O:O,"LS")</f>
        <v>0</v>
      </c>
      <c r="AR36" s="271"/>
      <c r="AS36" s="58" t="s">
        <v>31</v>
      </c>
      <c r="AT36" s="165">
        <f>COUNTIFS(JOURNAL!F:F,"4",JOURNAL!J:J,"TCDC",JOURNAL!O:O,"LS")</f>
        <v>0</v>
      </c>
      <c r="AU36" s="271"/>
      <c r="AV36" s="58" t="s">
        <v>31</v>
      </c>
      <c r="AW36" s="165">
        <f>COUNTIFS(JOURNAL!F:F,"4",JOURNAL!J:J,"OCDC",JOURNAL!O:O,"LS")</f>
        <v>0</v>
      </c>
      <c r="AX36" s="271"/>
      <c r="AY36" s="58" t="s">
        <v>31</v>
      </c>
      <c r="AZ36" s="165">
        <f>COUNTIFS(JOURNAL!F:F,"4",JOURNAL!J:J,"TCP",JOURNAL!O:O,"LS")</f>
        <v>0</v>
      </c>
      <c r="BA36" s="271"/>
      <c r="BB36" s="58" t="s">
        <v>31</v>
      </c>
      <c r="BC36" s="165">
        <f>COUNTIFS(JOURNAL!F:F,"4",JOURNAL!J:J,"OCP",JOURNAL!O:O,"LS")</f>
        <v>0</v>
      </c>
      <c r="BD36" s="271"/>
      <c r="BE36" s="58" t="s">
        <v>31</v>
      </c>
      <c r="BF36" s="165">
        <f>COUNTIFS(JOURNAL!F:F,"4",JOURNAL!J:J,"RE",JOURNAL!O:O,"LS")</f>
        <v>0</v>
      </c>
    </row>
    <row r="37" spans="2:58" ht="15.75" customHeight="1" x14ac:dyDescent="0.25">
      <c r="Y37" s="273"/>
      <c r="Z37" s="271"/>
      <c r="AA37" s="59" t="s">
        <v>33</v>
      </c>
      <c r="AB37" s="165">
        <f>COUNTIFS(JOURNAL!F:F,"4",JOURNAL!J:J,"TCDP",JOURNAL!O:O,"OT +")</f>
        <v>0</v>
      </c>
      <c r="AC37" s="271"/>
      <c r="AD37" s="59" t="s">
        <v>33</v>
      </c>
      <c r="AE37" s="165">
        <f>COUNTIFS(JOURNAL!F:F,"4",JOURNAL!J:J,"OCDP",JOURNAL!O:O,"OT +")</f>
        <v>0</v>
      </c>
      <c r="AF37" s="271"/>
      <c r="AG37" s="59" t="s">
        <v>33</v>
      </c>
      <c r="AH37" s="165">
        <f>COUNTIFS(JOURNAL!F:F,"4",JOURNAL!J:J,"TCDL",JOURNAL!O:O,"OT +")</f>
        <v>0</v>
      </c>
      <c r="AI37" s="271"/>
      <c r="AJ37" s="59" t="s">
        <v>33</v>
      </c>
      <c r="AK37" s="165">
        <f>COUNTIFS(JOURNAL!F:F,"4",JOURNAL!J:J,"OCDL",JOURNAL!O:O,"OT  +")</f>
        <v>0</v>
      </c>
      <c r="AL37" s="271"/>
      <c r="AM37" s="59" t="s">
        <v>33</v>
      </c>
      <c r="AN37" s="165">
        <f>COUNTIFS(JOURNAL!F:F,"4",JOURNAL!J:J,"TCDW",JOURNAL!O:O,"OT +")</f>
        <v>0</v>
      </c>
      <c r="AO37" s="271"/>
      <c r="AP37" s="59" t="s">
        <v>33</v>
      </c>
      <c r="AQ37" s="165">
        <f>COUNTIFS(JOURNAL!F:F,"4",JOURNAL!J:J,"OCDW",JOURNAL!O:O,"OT +")</f>
        <v>0</v>
      </c>
      <c r="AR37" s="271"/>
      <c r="AS37" s="59" t="s">
        <v>33</v>
      </c>
      <c r="AT37" s="165">
        <f>COUNTIFS(JOURNAL!F:F,"4",JOURNAL!J:J,"TCDC",JOURNAL!O:O,"OT +")</f>
        <v>0</v>
      </c>
      <c r="AU37" s="271"/>
      <c r="AV37" s="59" t="s">
        <v>33</v>
      </c>
      <c r="AW37" s="165">
        <f>COUNTIFS(JOURNAL!F:F,"4",JOURNAL!J:J,"OCDC",JOURNAL!O:O,"OT +")</f>
        <v>0</v>
      </c>
      <c r="AX37" s="271"/>
      <c r="AY37" s="59" t="s">
        <v>33</v>
      </c>
      <c r="AZ37" s="165">
        <f>COUNTIFS(JOURNAL!F:F,"4",JOURNAL!J:J,"TCP",JOURNAL!O:O,"OT +")</f>
        <v>0</v>
      </c>
      <c r="BA37" s="271"/>
      <c r="BB37" s="59" t="s">
        <v>33</v>
      </c>
      <c r="BC37" s="165">
        <f>COUNTIFS(JOURNAL!F:F,"4",JOURNAL!J:J,"OCP",JOURNAL!O:O,"OT +")</f>
        <v>0</v>
      </c>
      <c r="BD37" s="271"/>
      <c r="BE37" s="59" t="s">
        <v>33</v>
      </c>
      <c r="BF37" s="165">
        <f>COUNTIFS(JOURNAL!F:F,"4",JOURNAL!J:J,"RE",JOURNAL!O:O,"OT +")</f>
        <v>0</v>
      </c>
    </row>
    <row r="38" spans="2:58" ht="15.75" customHeight="1" x14ac:dyDescent="0.25">
      <c r="Y38" s="273"/>
      <c r="Z38" s="271"/>
      <c r="AA38" s="60" t="s">
        <v>34</v>
      </c>
      <c r="AB38" s="165">
        <f>COUNTIFS(JOURNAL!F:F,"4",JOURNAL!J:J,"TCDP",JOURNAL!O:O,"OT -")</f>
        <v>0</v>
      </c>
      <c r="AC38" s="271"/>
      <c r="AD38" s="60" t="s">
        <v>34</v>
      </c>
      <c r="AE38" s="165">
        <f>COUNTIFS(JOURNAL!F:F,"4",JOURNAL!J:J,"OCDP",JOURNAL!O:O,"OT -")</f>
        <v>0</v>
      </c>
      <c r="AF38" s="271"/>
      <c r="AG38" s="60" t="s">
        <v>34</v>
      </c>
      <c r="AH38" s="165">
        <f>COUNTIFS(JOURNAL!F:F,"4",JOURNAL!J:J,"TCDL",JOURNAL!O:O,"OT -")</f>
        <v>0</v>
      </c>
      <c r="AI38" s="271"/>
      <c r="AJ38" s="60" t="s">
        <v>34</v>
      </c>
      <c r="AK38" s="165">
        <f>COUNTIFS(JOURNAL!F:F,"4",JOURNAL!J:J,"OCDL",JOURNAL!O:O,"OT -")</f>
        <v>0</v>
      </c>
      <c r="AL38" s="271"/>
      <c r="AM38" s="60" t="s">
        <v>34</v>
      </c>
      <c r="AN38" s="165">
        <f>COUNTIFS(JOURNAL!F:F,"4",JOURNAL!J:J,"TCDW",JOURNAL!O:O,"OT -")</f>
        <v>0</v>
      </c>
      <c r="AO38" s="271"/>
      <c r="AP38" s="60" t="s">
        <v>34</v>
      </c>
      <c r="AQ38" s="165">
        <f>COUNTIFS(JOURNAL!F:F,"4",JOURNAL!J:J,"OCDW",JOURNAL!O:O,"OT -")</f>
        <v>0</v>
      </c>
      <c r="AR38" s="271"/>
      <c r="AS38" s="60" t="s">
        <v>34</v>
      </c>
      <c r="AT38" s="165">
        <f>COUNTIFS(JOURNAL!F:F,"4",JOURNAL!J:J,"TCDC",JOURNAL!O:O,"OT -")</f>
        <v>0</v>
      </c>
      <c r="AU38" s="271"/>
      <c r="AV38" s="60" t="s">
        <v>34</v>
      </c>
      <c r="AW38" s="165">
        <f>COUNTIFS(JOURNAL!F:F,"4",JOURNAL!J:J,"OCDC",JOURNAL!O:O,"OT -")</f>
        <v>0</v>
      </c>
      <c r="AX38" s="271"/>
      <c r="AY38" s="60" t="s">
        <v>34</v>
      </c>
      <c r="AZ38" s="165">
        <f>COUNTIFS(JOURNAL!F:F,"4",JOURNAL!J:J,"TCP",JOURNAL!O:O,"OT -")</f>
        <v>0</v>
      </c>
      <c r="BA38" s="271"/>
      <c r="BB38" s="60" t="s">
        <v>34</v>
      </c>
      <c r="BC38" s="165">
        <f>COUNTIFS(JOURNAL!F:F,"4",JOURNAL!J:J,"OCP",JOURNAL!O:O,"OT -")</f>
        <v>0</v>
      </c>
      <c r="BD38" s="271"/>
      <c r="BE38" s="60" t="s">
        <v>34</v>
      </c>
      <c r="BF38" s="165">
        <f>COUNTIFS(JOURNAL!F:F,"4",JOURNAL!J:J,"RE",JOURNAL!O:O,"OT -")</f>
        <v>0</v>
      </c>
    </row>
    <row r="39" spans="2:58" ht="15.75" customHeight="1" x14ac:dyDescent="0.25">
      <c r="Y39" s="273"/>
      <c r="Z39" s="271"/>
      <c r="AA39" s="25" t="s">
        <v>115</v>
      </c>
      <c r="AB39" s="166">
        <f>SUM(AB32:AB38)</f>
        <v>0</v>
      </c>
      <c r="AC39" s="271"/>
      <c r="AD39" s="25" t="s">
        <v>115</v>
      </c>
      <c r="AE39" s="166">
        <f>SUM(AE32:AE38)</f>
        <v>0</v>
      </c>
      <c r="AF39" s="271"/>
      <c r="AG39" s="25" t="s">
        <v>115</v>
      </c>
      <c r="AH39" s="166">
        <f>SUM(AH32:AH38)</f>
        <v>0</v>
      </c>
      <c r="AI39" s="271"/>
      <c r="AJ39" s="25" t="s">
        <v>115</v>
      </c>
      <c r="AK39" s="166">
        <f>SUM(AK32:AK38)</f>
        <v>0</v>
      </c>
      <c r="AL39" s="271"/>
      <c r="AM39" s="25" t="s">
        <v>115</v>
      </c>
      <c r="AN39" s="166">
        <f>SUM(AN32:AN38)</f>
        <v>0</v>
      </c>
      <c r="AO39" s="271"/>
      <c r="AP39" s="25" t="s">
        <v>115</v>
      </c>
      <c r="AQ39" s="166">
        <f>SUM(AQ32:AQ38)</f>
        <v>0</v>
      </c>
      <c r="AR39" s="271"/>
      <c r="AS39" s="25" t="s">
        <v>115</v>
      </c>
      <c r="AT39" s="166">
        <f>SUM(AT32:AT38)</f>
        <v>0</v>
      </c>
      <c r="AU39" s="271"/>
      <c r="AV39" s="25" t="s">
        <v>115</v>
      </c>
      <c r="AW39" s="166">
        <f>SUM(AW32:AW38)</f>
        <v>0</v>
      </c>
      <c r="AX39" s="271"/>
      <c r="AY39" s="25" t="s">
        <v>115</v>
      </c>
      <c r="AZ39" s="166">
        <f>SUM(AZ32:AZ38)</f>
        <v>0</v>
      </c>
      <c r="BA39" s="271"/>
      <c r="BB39" s="25" t="s">
        <v>115</v>
      </c>
      <c r="BC39" s="166">
        <f>SUM(BC32:BC38)</f>
        <v>0</v>
      </c>
      <c r="BD39" s="271"/>
      <c r="BE39" s="25" t="s">
        <v>115</v>
      </c>
      <c r="BF39" s="166">
        <f>SUM(BF32:BF38)</f>
        <v>0</v>
      </c>
    </row>
    <row r="40" spans="2:58" ht="15.75" customHeight="1" x14ac:dyDescent="0.25">
      <c r="Y40" s="273"/>
      <c r="Z40" s="272"/>
      <c r="AA40" s="29" t="s">
        <v>44</v>
      </c>
      <c r="AB40" s="164" t="e">
        <f>SUM(AB32,AB34,AB35,AB37)/AB39</f>
        <v>#DIV/0!</v>
      </c>
      <c r="AC40" s="272"/>
      <c r="AD40" s="29" t="s">
        <v>44</v>
      </c>
      <c r="AE40" s="164" t="e">
        <f>SUM(AE32,AE34,AE35,AE37)/AE39</f>
        <v>#DIV/0!</v>
      </c>
      <c r="AF40" s="272"/>
      <c r="AG40" s="29" t="s">
        <v>44</v>
      </c>
      <c r="AH40" s="164" t="e">
        <f>SUM(AH32,AH34,AH35,AH37)/AH39</f>
        <v>#DIV/0!</v>
      </c>
      <c r="AI40" s="272"/>
      <c r="AJ40" s="29" t="s">
        <v>44</v>
      </c>
      <c r="AK40" s="164" t="e">
        <f>SUM(AK32,AK34,AK35,AK37)/AK39</f>
        <v>#DIV/0!</v>
      </c>
      <c r="AL40" s="272"/>
      <c r="AM40" s="29" t="s">
        <v>44</v>
      </c>
      <c r="AN40" s="164" t="e">
        <f>SUM(AN32,AN34,AN35,AN37)/AN39</f>
        <v>#DIV/0!</v>
      </c>
      <c r="AO40" s="272"/>
      <c r="AP40" s="29" t="s">
        <v>44</v>
      </c>
      <c r="AQ40" s="164" t="e">
        <f>SUM(AQ32,AQ34,AQ35,AQ37)/AQ39</f>
        <v>#DIV/0!</v>
      </c>
      <c r="AR40" s="272"/>
      <c r="AS40" s="29" t="s">
        <v>44</v>
      </c>
      <c r="AT40" s="164" t="e">
        <f>SUM(AT32,AT34,AT35,AT37)/AT39</f>
        <v>#DIV/0!</v>
      </c>
      <c r="AU40" s="272"/>
      <c r="AV40" s="29" t="s">
        <v>44</v>
      </c>
      <c r="AW40" s="164" t="e">
        <f>SUM(AW32,AW34,AW35,AW37)/AW39</f>
        <v>#DIV/0!</v>
      </c>
      <c r="AX40" s="272"/>
      <c r="AY40" s="29" t="s">
        <v>44</v>
      </c>
      <c r="AZ40" s="164" t="e">
        <f>SUM(AZ32,AZ34,AZ35,AZ37)/AZ39</f>
        <v>#DIV/0!</v>
      </c>
      <c r="BA40" s="272"/>
      <c r="BB40" s="29" t="s">
        <v>44</v>
      </c>
      <c r="BC40" s="164" t="e">
        <f>SUM(BC32,BC34,BC35,BC37)/BC39</f>
        <v>#DIV/0!</v>
      </c>
      <c r="BD40" s="272"/>
      <c r="BE40" s="29" t="s">
        <v>44</v>
      </c>
      <c r="BF40" s="164" t="e">
        <f>SUM(BF32,BF34,BF35,BF37)/BF39</f>
        <v>#DIV/0!</v>
      </c>
    </row>
    <row r="41" spans="2:58" ht="15.75" customHeight="1" x14ac:dyDescent="0.25"/>
    <row r="42" spans="2:58" ht="18.75" customHeight="1" x14ac:dyDescent="0.25">
      <c r="Y42" s="273" t="s">
        <v>72</v>
      </c>
      <c r="Z42" s="270" t="s">
        <v>6</v>
      </c>
      <c r="AA42" s="54" t="s">
        <v>27</v>
      </c>
      <c r="AB42" s="165">
        <f>COUNTIFS(JOURNAL!F:F,"5",JOURNAL!J:J,"TCDP",JOURNAL!O:O,"TP")</f>
        <v>0</v>
      </c>
      <c r="AC42" s="270" t="s">
        <v>7</v>
      </c>
      <c r="AD42" s="54" t="s">
        <v>27</v>
      </c>
      <c r="AE42" s="165">
        <f>COUNTIFS(JOURNAL!F:F,"5",JOURNAL!J:J,"OCDP",JOURNAL!O:O,"TP")</f>
        <v>0</v>
      </c>
      <c r="AF42" s="270" t="s">
        <v>9</v>
      </c>
      <c r="AG42" s="54" t="s">
        <v>27</v>
      </c>
      <c r="AH42" s="165">
        <f>COUNTIFS(JOURNAL!F:F,"5",JOURNAL!J:J,"TCDL",JOURNAL!O:O,"TP")</f>
        <v>0</v>
      </c>
      <c r="AI42" s="270" t="s">
        <v>10</v>
      </c>
      <c r="AJ42" s="54" t="s">
        <v>27</v>
      </c>
      <c r="AK42" s="165">
        <f>COUNTIFS(JOURNAL!F:F,"5",JOURNAL!J:J,"OCDL",JOURNAL!O:O,"TP")</f>
        <v>0</v>
      </c>
      <c r="AL42" s="270" t="s">
        <v>8</v>
      </c>
      <c r="AM42" s="54" t="s">
        <v>27</v>
      </c>
      <c r="AN42" s="165">
        <f>COUNTIFS(JOURNAL!F:F,"5",JOURNAL!J:J,"TCDW",JOURNAL!O:O,"TP")</f>
        <v>0</v>
      </c>
      <c r="AO42" s="270" t="s">
        <v>11</v>
      </c>
      <c r="AP42" s="54" t="s">
        <v>27</v>
      </c>
      <c r="AQ42" s="165">
        <f>COUNTIFS(JOURNAL!F:F,"5",JOURNAL!J:J,"OCDW",JOURNAL!O:O,"TP")</f>
        <v>0</v>
      </c>
      <c r="AR42" s="270" t="s">
        <v>12</v>
      </c>
      <c r="AS42" s="54" t="s">
        <v>27</v>
      </c>
      <c r="AT42" s="165">
        <f>COUNTIFS(JOURNAL!F:F,"5",JOURNAL!J:J,"TCDC",JOURNAL!O:O,"TP")</f>
        <v>0</v>
      </c>
      <c r="AU42" s="270" t="s">
        <v>13</v>
      </c>
      <c r="AV42" s="54" t="s">
        <v>27</v>
      </c>
      <c r="AW42" s="165">
        <f>COUNTIFS(JOURNAL!F:F,"5",JOURNAL!J:J,"OCDC",JOURNAL!O:O,"TP")</f>
        <v>0</v>
      </c>
      <c r="AX42" s="270" t="s">
        <v>14</v>
      </c>
      <c r="AY42" s="54" t="s">
        <v>27</v>
      </c>
      <c r="AZ42" s="165">
        <f>COUNTIFS(JOURNAL!F:F,"5",JOURNAL!J:J,"TCP",JOURNAL!O:O,"TP")</f>
        <v>0</v>
      </c>
      <c r="BA42" s="270" t="s">
        <v>15</v>
      </c>
      <c r="BB42" s="54" t="s">
        <v>27</v>
      </c>
      <c r="BC42" s="165">
        <f>COUNTIFS(JOURNAL!F:F,"5",JOURNAL!J:J,"OCP",JOURNAL!O:O,"TP")</f>
        <v>0</v>
      </c>
      <c r="BD42" s="270" t="s">
        <v>16</v>
      </c>
      <c r="BE42" s="54" t="s">
        <v>27</v>
      </c>
      <c r="BF42" s="165">
        <f>COUNTIFS(JOURNAL!F:F,"5",JOURNAL!J:J,"RE",JOURNAL!O:O,"TP")</f>
        <v>0</v>
      </c>
    </row>
    <row r="43" spans="2:58" ht="15.75" customHeight="1" x14ac:dyDescent="0.25">
      <c r="Y43" s="273"/>
      <c r="Z43" s="271"/>
      <c r="AA43" s="55" t="s">
        <v>29</v>
      </c>
      <c r="AB43" s="165">
        <f>COUNTIFS(JOURNAL!F:F,"5",JOURNAL!J:J,"TCDP",JOURNAL!O:O,"SL")</f>
        <v>0</v>
      </c>
      <c r="AC43" s="271"/>
      <c r="AD43" s="55" t="s">
        <v>29</v>
      </c>
      <c r="AE43" s="165">
        <f>COUNTIFS(JOURNAL!F:F,"5",JOURNAL!J:J,"OCDP",JOURNAL!O:O,"SL")</f>
        <v>0</v>
      </c>
      <c r="AF43" s="271"/>
      <c r="AG43" s="55" t="s">
        <v>29</v>
      </c>
      <c r="AH43" s="165">
        <f>COUNTIFS(JOURNAL!F:F,"5",JOURNAL!J:J,"TCDL",JOURNAL!O:O,"SL")</f>
        <v>0</v>
      </c>
      <c r="AI43" s="271"/>
      <c r="AJ43" s="55" t="s">
        <v>29</v>
      </c>
      <c r="AK43" s="165">
        <f>COUNTIFS(JOURNAL!F:F,"5",JOURNAL!J:J,"OCDL",JOURNAL!O:O,"SL")</f>
        <v>0</v>
      </c>
      <c r="AL43" s="271"/>
      <c r="AM43" s="55" t="s">
        <v>29</v>
      </c>
      <c r="AN43" s="165">
        <f>COUNTIFS(JOURNAL!F:F,"5",JOURNAL!J:J,"TCDW",JOURNAL!O:O,"SL")</f>
        <v>0</v>
      </c>
      <c r="AO43" s="271"/>
      <c r="AP43" s="55" t="s">
        <v>29</v>
      </c>
      <c r="AQ43" s="165">
        <f>COUNTIFS(JOURNAL!F:F,"5",JOURNAL!J:J,"OCDW",JOURNAL!O:O,"SL")</f>
        <v>0</v>
      </c>
      <c r="AR43" s="271"/>
      <c r="AS43" s="55" t="s">
        <v>29</v>
      </c>
      <c r="AT43" s="165">
        <f>COUNTIFS(JOURNAL!F:F,"5",JOURNAL!J:J,"TCDC",JOURNAL!O:O,"SL")</f>
        <v>0</v>
      </c>
      <c r="AU43" s="271"/>
      <c r="AV43" s="55" t="s">
        <v>29</v>
      </c>
      <c r="AW43" s="165">
        <f>COUNTIFS(JOURNAL!F:F,"5",JOURNAL!J:J,"OCDC",JOURNAL!O:O,"SL")</f>
        <v>0</v>
      </c>
      <c r="AX43" s="271"/>
      <c r="AY43" s="55" t="s">
        <v>29</v>
      </c>
      <c r="AZ43" s="165">
        <f>COUNTIFS(JOURNAL!F:F,"5",JOURNAL!J:J,"TCP",JOURNAL!O:O,"SL")</f>
        <v>0</v>
      </c>
      <c r="BA43" s="271"/>
      <c r="BB43" s="55" t="s">
        <v>29</v>
      </c>
      <c r="BC43" s="165">
        <f>COUNTIFS(JOURNAL!F:F,"5",JOURNAL!J:J,"OCP",JOURNAL!O:O,"SL")</f>
        <v>0</v>
      </c>
      <c r="BD43" s="271"/>
      <c r="BE43" s="55" t="s">
        <v>29</v>
      </c>
      <c r="BF43" s="165">
        <f>COUNTIFS(JOURNAL!F:F,"5",JOURNAL!J:J,"RE",JOURNAL!O:O,"SL")</f>
        <v>0</v>
      </c>
    </row>
    <row r="44" spans="2:58" ht="15.75" customHeight="1" x14ac:dyDescent="0.25">
      <c r="Y44" s="273"/>
      <c r="Z44" s="271"/>
      <c r="AA44" s="56" t="s">
        <v>32</v>
      </c>
      <c r="AB44" s="165">
        <f>COUNTIFS(JOURNAL!F:F,"5",JOURNAL!J:J,"TCDP",JOURNAL!O:O,"RF")</f>
        <v>0</v>
      </c>
      <c r="AC44" s="271"/>
      <c r="AD44" s="56" t="s">
        <v>32</v>
      </c>
      <c r="AE44" s="165">
        <f>COUNTIFS(JOURNAL!F:F,"5",JOURNAL!J:J,"OCDP",JOURNAL!O:O,"RF")</f>
        <v>0</v>
      </c>
      <c r="AF44" s="271"/>
      <c r="AG44" s="56" t="s">
        <v>32</v>
      </c>
      <c r="AH44" s="165">
        <f>COUNTIFS(JOURNAL!F:F,"5",JOURNAL!J:J,"TCDL",JOURNAL!O:O,"RF")</f>
        <v>0</v>
      </c>
      <c r="AI44" s="271"/>
      <c r="AJ44" s="56" t="s">
        <v>32</v>
      </c>
      <c r="AK44" s="165">
        <f>COUNTIFS(JOURNAL!F:F,"5",JOURNAL!J:J,"OCDL",JOURNAL!O:O,"RF")</f>
        <v>0</v>
      </c>
      <c r="AL44" s="271"/>
      <c r="AM44" s="56" t="s">
        <v>32</v>
      </c>
      <c r="AN44" s="165">
        <f>COUNTIFS(JOURNAL!F:F,"5",JOURNAL!J:J,"TCDW",JOURNAL!O:O,"RF")</f>
        <v>0</v>
      </c>
      <c r="AO44" s="271"/>
      <c r="AP44" s="56" t="s">
        <v>32</v>
      </c>
      <c r="AQ44" s="165">
        <f>COUNTIFS(JOURNAL!F:F,"5",JOURNAL!J:J,"OCDW",JOURNAL!O:O,"RF")</f>
        <v>0</v>
      </c>
      <c r="AR44" s="271"/>
      <c r="AS44" s="56" t="s">
        <v>32</v>
      </c>
      <c r="AT44" s="165">
        <f>COUNTIFS(JOURNAL!F:F,"5",JOURNAL!J:J,"TCDC",JOURNAL!O:O,"RF")</f>
        <v>0</v>
      </c>
      <c r="AU44" s="271"/>
      <c r="AV44" s="56" t="s">
        <v>32</v>
      </c>
      <c r="AW44" s="165">
        <f>COUNTIFS(JOURNAL!F:F,"5",JOURNAL!J:J,"OCDC",JOURNAL!O:O,"RF")</f>
        <v>0</v>
      </c>
      <c r="AX44" s="271"/>
      <c r="AY44" s="56" t="s">
        <v>32</v>
      </c>
      <c r="AZ44" s="165">
        <f>COUNTIFS(JOURNAL!F:F,"5",JOURNAL!J:J,"TCP",JOURNAL!O:O,"RF")</f>
        <v>0</v>
      </c>
      <c r="BA44" s="271"/>
      <c r="BB44" s="56" t="s">
        <v>32</v>
      </c>
      <c r="BC44" s="165">
        <f>COUNTIFS(JOURNAL!F:F,"5",JOURNAL!J:J,"OCP",JOURNAL!O:O,"RF")</f>
        <v>0</v>
      </c>
      <c r="BD44" s="271"/>
      <c r="BE44" s="56" t="s">
        <v>32</v>
      </c>
      <c r="BF44" s="165">
        <f>COUNTIFS(JOURNAL!F:F,"5",JOURNAL!J:J,"RE",JOURNAL!O:O,"RF")</f>
        <v>0</v>
      </c>
    </row>
    <row r="45" spans="2:58" ht="15.75" customHeight="1" x14ac:dyDescent="0.25">
      <c r="Y45" s="273"/>
      <c r="Z45" s="271"/>
      <c r="AA45" s="57" t="s">
        <v>30</v>
      </c>
      <c r="AB45" s="165">
        <f>COUNTIFS(JOURNAL!F:F,"5",JOURNAL!J:J,"TCDP",JOURNAL!O:O,"PS")</f>
        <v>0</v>
      </c>
      <c r="AC45" s="271"/>
      <c r="AD45" s="57" t="s">
        <v>30</v>
      </c>
      <c r="AE45" s="165">
        <f>COUNTIFS(JOURNAL!F:F,"5",JOURNAL!J:J,"OCDP",JOURNAL!O:O,"PS")</f>
        <v>0</v>
      </c>
      <c r="AF45" s="271"/>
      <c r="AG45" s="57" t="s">
        <v>30</v>
      </c>
      <c r="AH45" s="165">
        <f>COUNTIFS(JOURNAL!F:F,"5",JOURNAL!J:J,"TCDL",JOURNAL!O:O,"PS")</f>
        <v>0</v>
      </c>
      <c r="AI45" s="271"/>
      <c r="AJ45" s="57" t="s">
        <v>30</v>
      </c>
      <c r="AK45" s="165">
        <f>COUNTIFS(JOURNAL!F:F,"5",JOURNAL!J:J,"OCDL",JOURNAL!O:O,"PS")</f>
        <v>0</v>
      </c>
      <c r="AL45" s="271"/>
      <c r="AM45" s="57" t="s">
        <v>30</v>
      </c>
      <c r="AN45" s="165">
        <f>COUNTIFS(JOURNAL!F:F,"5",JOURNAL!J:J,"TCDW",JOURNAL!O:O,"PS")</f>
        <v>0</v>
      </c>
      <c r="AO45" s="271"/>
      <c r="AP45" s="57" t="s">
        <v>30</v>
      </c>
      <c r="AQ45" s="165">
        <f>COUNTIFS(JOURNAL!F:F,"5",JOURNAL!J:J,"OCDW",JOURNAL!O:O,"PS")</f>
        <v>0</v>
      </c>
      <c r="AR45" s="271"/>
      <c r="AS45" s="57" t="s">
        <v>30</v>
      </c>
      <c r="AT45" s="165">
        <f>COUNTIFS(JOURNAL!F:F,"5",JOURNAL!J:J,"TCDC",JOURNAL!O:O,"PS")</f>
        <v>0</v>
      </c>
      <c r="AU45" s="271"/>
      <c r="AV45" s="57" t="s">
        <v>30</v>
      </c>
      <c r="AW45" s="165">
        <f>COUNTIFS(JOURNAL!F:F,"5",JOURNAL!J:J,"OCDC",JOURNAL!O:O,"PS")</f>
        <v>0</v>
      </c>
      <c r="AX45" s="271"/>
      <c r="AY45" s="57" t="s">
        <v>30</v>
      </c>
      <c r="AZ45" s="165">
        <f>COUNTIFS(JOURNAL!F:F,"5",JOURNAL!J:J,"TCP",JOURNAL!O:O,"PS")</f>
        <v>0</v>
      </c>
      <c r="BA45" s="271"/>
      <c r="BB45" s="57" t="s">
        <v>30</v>
      </c>
      <c r="BC45" s="165">
        <f>COUNTIFS(JOURNAL!F:F,"5",JOURNAL!J:J,"OCP",JOURNAL!O:O,"PS")</f>
        <v>0</v>
      </c>
      <c r="BD45" s="271"/>
      <c r="BE45" s="57" t="s">
        <v>30</v>
      </c>
      <c r="BF45" s="165">
        <f>COUNTIFS(JOURNAL!F:F,"5",JOURNAL!J:J,"RE",JOURNAL!O:O,"PS")</f>
        <v>0</v>
      </c>
    </row>
    <row r="46" spans="2:58" ht="17.25" customHeight="1" x14ac:dyDescent="0.25">
      <c r="Y46" s="273"/>
      <c r="Z46" s="271"/>
      <c r="AA46" s="58" t="s">
        <v>31</v>
      </c>
      <c r="AB46" s="165">
        <f>COUNTIFS(JOURNAL!F:F,"5",JOURNAL!J:J,"TCDP",JOURNAL!O:O,"LS")</f>
        <v>0</v>
      </c>
      <c r="AC46" s="271"/>
      <c r="AD46" s="58" t="s">
        <v>31</v>
      </c>
      <c r="AE46" s="165">
        <f>COUNTIFS(JOURNAL!F:F,"5",JOURNAL!J:J,"OCDP",JOURNAL!O:O,"LS")</f>
        <v>0</v>
      </c>
      <c r="AF46" s="271"/>
      <c r="AG46" s="58" t="s">
        <v>31</v>
      </c>
      <c r="AH46" s="165">
        <f>COUNTIFS(JOURNAL!F:F,"5",JOURNAL!J:J,"TCDL",JOURNAL!O:O,"LS")</f>
        <v>0</v>
      </c>
      <c r="AI46" s="271"/>
      <c r="AJ46" s="58" t="s">
        <v>31</v>
      </c>
      <c r="AK46" s="165">
        <f>COUNTIFS(JOURNAL!F:F,"5",JOURNAL!J:J,"OCDL",JOURNAL!O:O,"LS")</f>
        <v>0</v>
      </c>
      <c r="AL46" s="271"/>
      <c r="AM46" s="58" t="s">
        <v>31</v>
      </c>
      <c r="AN46" s="165">
        <f>COUNTIFS(JOURNAL!F:F,"5",JOURNAL!J:J,"TCDW",JOURNAL!O:O,"LS")</f>
        <v>0</v>
      </c>
      <c r="AO46" s="271"/>
      <c r="AP46" s="58" t="s">
        <v>31</v>
      </c>
      <c r="AQ46" s="165">
        <f>COUNTIFS(JOURNAL!F:F,"5",JOURNAL!J:J,"OCDW",JOURNAL!O:O,"LS")</f>
        <v>0</v>
      </c>
      <c r="AR46" s="271"/>
      <c r="AS46" s="58" t="s">
        <v>31</v>
      </c>
      <c r="AT46" s="165">
        <f>COUNTIFS(JOURNAL!F:F,"5",JOURNAL!J:J,"TCDC",JOURNAL!O:O,"LS")</f>
        <v>0</v>
      </c>
      <c r="AU46" s="271"/>
      <c r="AV46" s="58" t="s">
        <v>31</v>
      </c>
      <c r="AW46" s="165">
        <f>COUNTIFS(JOURNAL!F:F,"5",JOURNAL!J:J,"OCDC",JOURNAL!O:O,"LS")</f>
        <v>0</v>
      </c>
      <c r="AX46" s="271"/>
      <c r="AY46" s="58" t="s">
        <v>31</v>
      </c>
      <c r="AZ46" s="165">
        <f>COUNTIFS(JOURNAL!F:F,"5",JOURNAL!J:J,"TCP",JOURNAL!O:O,"LS")</f>
        <v>0</v>
      </c>
      <c r="BA46" s="271"/>
      <c r="BB46" s="58" t="s">
        <v>31</v>
      </c>
      <c r="BC46" s="165">
        <f>COUNTIFS(JOURNAL!F:F,"5",JOURNAL!J:J,"OCP",JOURNAL!O:O,"LS")</f>
        <v>0</v>
      </c>
      <c r="BD46" s="271"/>
      <c r="BE46" s="58" t="s">
        <v>31</v>
      </c>
      <c r="BF46" s="165">
        <f>COUNTIFS(JOURNAL!F:F,"5",JOURNAL!J:J,"RE",JOURNAL!O:O,"LS")</f>
        <v>0</v>
      </c>
    </row>
    <row r="47" spans="2:58" ht="21.75" customHeight="1" x14ac:dyDescent="0.25">
      <c r="B47" s="267" t="s">
        <v>8</v>
      </c>
      <c r="C47" s="268"/>
      <c r="D47" s="268"/>
      <c r="E47" s="268"/>
      <c r="F47" s="269"/>
      <c r="H47" s="267" t="s">
        <v>11</v>
      </c>
      <c r="I47" s="268"/>
      <c r="J47" s="268"/>
      <c r="K47" s="268"/>
      <c r="L47" s="269"/>
      <c r="N47" s="257" t="s">
        <v>15</v>
      </c>
      <c r="O47" s="258"/>
      <c r="P47" s="258"/>
      <c r="Q47" s="258"/>
      <c r="R47" s="259"/>
      <c r="Y47" s="273"/>
      <c r="Z47" s="271"/>
      <c r="AA47" s="59" t="s">
        <v>33</v>
      </c>
      <c r="AB47" s="165">
        <f>COUNTIFS(JOURNAL!F:F,"5",JOURNAL!J:J,"TCDP",JOURNAL!O:O,"OT +")</f>
        <v>0</v>
      </c>
      <c r="AC47" s="271"/>
      <c r="AD47" s="59" t="s">
        <v>33</v>
      </c>
      <c r="AE47" s="165">
        <f>COUNTIFS(JOURNAL!F:F,"5",JOURNAL!J:J,"OCDP",JOURNAL!O:O,"OT +")</f>
        <v>0</v>
      </c>
      <c r="AF47" s="271"/>
      <c r="AG47" s="59" t="s">
        <v>33</v>
      </c>
      <c r="AH47" s="165">
        <f>COUNTIFS(JOURNAL!F:F,"5",JOURNAL!J:J,"TCDL",JOURNAL!O:O,"OT +")</f>
        <v>0</v>
      </c>
      <c r="AI47" s="271"/>
      <c r="AJ47" s="59" t="s">
        <v>33</v>
      </c>
      <c r="AK47" s="165">
        <f>COUNTIFS(JOURNAL!F:F,"5",JOURNAL!J:J,"OCDL",JOURNAL!O:O,"OT  +")</f>
        <v>0</v>
      </c>
      <c r="AL47" s="271"/>
      <c r="AM47" s="59" t="s">
        <v>33</v>
      </c>
      <c r="AN47" s="165">
        <f>COUNTIFS(JOURNAL!F:F,"5",JOURNAL!J:J,"TCDW",JOURNAL!O:O,"OT +")</f>
        <v>0</v>
      </c>
      <c r="AO47" s="271"/>
      <c r="AP47" s="59" t="s">
        <v>33</v>
      </c>
      <c r="AQ47" s="165">
        <f>COUNTIFS(JOURNAL!F:F,"5",JOURNAL!J:J,"OCDW",JOURNAL!O:O,"OT +")</f>
        <v>0</v>
      </c>
      <c r="AR47" s="271"/>
      <c r="AS47" s="59" t="s">
        <v>33</v>
      </c>
      <c r="AT47" s="165">
        <f>COUNTIFS(JOURNAL!F:F,"5",JOURNAL!J:J,"TCDC",JOURNAL!O:O,"OT +")</f>
        <v>0</v>
      </c>
      <c r="AU47" s="271"/>
      <c r="AV47" s="59" t="s">
        <v>33</v>
      </c>
      <c r="AW47" s="165">
        <f>COUNTIFS(JOURNAL!F:F,"5",JOURNAL!J:J,"OCDC",JOURNAL!O:O,"OT +")</f>
        <v>0</v>
      </c>
      <c r="AX47" s="271"/>
      <c r="AY47" s="59" t="s">
        <v>33</v>
      </c>
      <c r="AZ47" s="165">
        <f>COUNTIFS(JOURNAL!F:F,"5",JOURNAL!J:J,"TCP",JOURNAL!O:O,"OT +")</f>
        <v>0</v>
      </c>
      <c r="BA47" s="271"/>
      <c r="BB47" s="59" t="s">
        <v>33</v>
      </c>
      <c r="BC47" s="165">
        <f>COUNTIFS(JOURNAL!F:F,"5",JOURNAL!J:J,"OCP",JOURNAL!O:O,"OT +")</f>
        <v>0</v>
      </c>
      <c r="BD47" s="271"/>
      <c r="BE47" s="59" t="s">
        <v>33</v>
      </c>
      <c r="BF47" s="165">
        <f>COUNTIFS(JOURNAL!F:F,"5",JOURNAL!J:J,"RE",JOURNAL!O:O,"OT +")</f>
        <v>0</v>
      </c>
    </row>
    <row r="48" spans="2:58" ht="15.75" customHeight="1" x14ac:dyDescent="0.25">
      <c r="B48" s="260" t="s">
        <v>43</v>
      </c>
      <c r="C48" s="262">
        <f>COUNTIF(JOURNAL!J:J,"TCDW")</f>
        <v>0</v>
      </c>
      <c r="D48" s="263"/>
      <c r="E48" s="54" t="s">
        <v>27</v>
      </c>
      <c r="F48" s="48">
        <f>COUNTIFS(JOURNAL!J:J,"TCDW",JOURNAL!O:O,"TP")</f>
        <v>0</v>
      </c>
      <c r="H48" s="260" t="s">
        <v>43</v>
      </c>
      <c r="I48" s="262">
        <f>COUNTIF(JOURNAL!J:J,"OCDW")</f>
        <v>0</v>
      </c>
      <c r="J48" s="263"/>
      <c r="K48" s="54" t="s">
        <v>27</v>
      </c>
      <c r="L48" s="48">
        <f>COUNTIFS(JOURNAL!J:J,"OCDW",JOURNAL!O:O,"TP")</f>
        <v>0</v>
      </c>
      <c r="N48" s="260" t="s">
        <v>43</v>
      </c>
      <c r="O48" s="262">
        <f>COUNTIF(JOURNAL!J:J,"OCP")</f>
        <v>0</v>
      </c>
      <c r="P48" s="263"/>
      <c r="Q48" s="54" t="s">
        <v>27</v>
      </c>
      <c r="R48" s="48">
        <f>COUNTIFS(JOURNAL!J:J,"OCP",JOURNAL!O:O,"TP")</f>
        <v>0</v>
      </c>
      <c r="Y48" s="273"/>
      <c r="Z48" s="271"/>
      <c r="AA48" s="60" t="s">
        <v>34</v>
      </c>
      <c r="AB48" s="165">
        <f>COUNTIFS(JOURNAL!F:F,"5",JOURNAL!J:J,"TCDP",JOURNAL!O:O,"OT -")</f>
        <v>0</v>
      </c>
      <c r="AC48" s="271"/>
      <c r="AD48" s="60" t="s">
        <v>34</v>
      </c>
      <c r="AE48" s="165">
        <f>COUNTIFS(JOURNAL!F:F,"5",JOURNAL!J:J,"OCDP",JOURNAL!O:O,"OT -")</f>
        <v>0</v>
      </c>
      <c r="AF48" s="271"/>
      <c r="AG48" s="60" t="s">
        <v>34</v>
      </c>
      <c r="AH48" s="165">
        <f>COUNTIFS(JOURNAL!F:F,"5",JOURNAL!J:J,"TCDL",JOURNAL!O:O,"OT -")</f>
        <v>0</v>
      </c>
      <c r="AI48" s="271"/>
      <c r="AJ48" s="60" t="s">
        <v>34</v>
      </c>
      <c r="AK48" s="165">
        <f>COUNTIFS(JOURNAL!F:F,"5",JOURNAL!J:J,"OCDL",JOURNAL!O:O,"OT -")</f>
        <v>0</v>
      </c>
      <c r="AL48" s="271"/>
      <c r="AM48" s="60" t="s">
        <v>34</v>
      </c>
      <c r="AN48" s="165">
        <f>COUNTIFS(JOURNAL!F:F,"5",JOURNAL!J:J,"TCDW",JOURNAL!O:O,"OT -")</f>
        <v>0</v>
      </c>
      <c r="AO48" s="271"/>
      <c r="AP48" s="60" t="s">
        <v>34</v>
      </c>
      <c r="AQ48" s="165">
        <f>COUNTIFS(JOURNAL!F:F,"5",JOURNAL!J:J,"OCDW",JOURNAL!O:O,"OT -")</f>
        <v>0</v>
      </c>
      <c r="AR48" s="271"/>
      <c r="AS48" s="60" t="s">
        <v>34</v>
      </c>
      <c r="AT48" s="165">
        <f>COUNTIFS(JOURNAL!F:F,"5",JOURNAL!J:J,"TCDC",JOURNAL!O:O,"OT -")</f>
        <v>0</v>
      </c>
      <c r="AU48" s="271"/>
      <c r="AV48" s="60" t="s">
        <v>34</v>
      </c>
      <c r="AW48" s="165">
        <f>COUNTIFS(JOURNAL!F:F,"5",JOURNAL!J:J,"OCDC",JOURNAL!O:O,"OT -")</f>
        <v>0</v>
      </c>
      <c r="AX48" s="271"/>
      <c r="AY48" s="60" t="s">
        <v>34</v>
      </c>
      <c r="AZ48" s="165">
        <f>COUNTIFS(JOURNAL!F:F,"5",JOURNAL!J:J,"TCP",JOURNAL!O:O,"OT -")</f>
        <v>0</v>
      </c>
      <c r="BA48" s="271"/>
      <c r="BB48" s="60" t="s">
        <v>34</v>
      </c>
      <c r="BC48" s="165">
        <f>COUNTIFS(JOURNAL!F:F,"5",JOURNAL!J:J,"OCP",JOURNAL!O:O,"OT -")</f>
        <v>0</v>
      </c>
      <c r="BD48" s="271"/>
      <c r="BE48" s="60" t="s">
        <v>34</v>
      </c>
      <c r="BF48" s="165">
        <f>COUNTIFS(JOURNAL!F:F,"5",JOURNAL!J:J,"RE",JOURNAL!O:O,"OT -")</f>
        <v>0</v>
      </c>
    </row>
    <row r="49" spans="2:58" ht="15.75" customHeight="1" x14ac:dyDescent="0.25">
      <c r="B49" s="261"/>
      <c r="C49" s="264"/>
      <c r="D49" s="265"/>
      <c r="E49" s="55" t="s">
        <v>29</v>
      </c>
      <c r="F49" s="48">
        <f>COUNTIFS(JOURNAL!J:J,"TCDW",JOURNAL!O:O,"SL")</f>
        <v>0</v>
      </c>
      <c r="H49" s="261"/>
      <c r="I49" s="264"/>
      <c r="J49" s="265"/>
      <c r="K49" s="55" t="s">
        <v>29</v>
      </c>
      <c r="L49" s="48">
        <f>COUNTIFS(JOURNAL!J:J,"OCDW",JOURNAL!O:O,"SL")</f>
        <v>0</v>
      </c>
      <c r="N49" s="261"/>
      <c r="O49" s="264"/>
      <c r="P49" s="265"/>
      <c r="Q49" s="55" t="s">
        <v>29</v>
      </c>
      <c r="R49" s="48">
        <f>COUNTIFS(JOURNAL!J:J,"OCP",JOURNAL!O:O,"SL")</f>
        <v>0</v>
      </c>
      <c r="Y49" s="273"/>
      <c r="Z49" s="271"/>
      <c r="AA49" s="25" t="s">
        <v>115</v>
      </c>
      <c r="AB49" s="166">
        <f>SUM(AB42:AB48)</f>
        <v>0</v>
      </c>
      <c r="AC49" s="271"/>
      <c r="AD49" s="25" t="s">
        <v>115</v>
      </c>
      <c r="AE49" s="166">
        <f>SUM(AE42:AE48)</f>
        <v>0</v>
      </c>
      <c r="AF49" s="271"/>
      <c r="AG49" s="25" t="s">
        <v>115</v>
      </c>
      <c r="AH49" s="166">
        <f>SUM(AH42:AH48)</f>
        <v>0</v>
      </c>
      <c r="AI49" s="271"/>
      <c r="AJ49" s="25" t="s">
        <v>115</v>
      </c>
      <c r="AK49" s="166">
        <f>SUM(AK42:AK48)</f>
        <v>0</v>
      </c>
      <c r="AL49" s="271"/>
      <c r="AM49" s="25" t="s">
        <v>115</v>
      </c>
      <c r="AN49" s="166">
        <f>SUM(AN42:AN48)</f>
        <v>0</v>
      </c>
      <c r="AO49" s="271"/>
      <c r="AP49" s="25" t="s">
        <v>115</v>
      </c>
      <c r="AQ49" s="166">
        <f>SUM(AQ42:AQ48)</f>
        <v>0</v>
      </c>
      <c r="AR49" s="271"/>
      <c r="AS49" s="25" t="s">
        <v>115</v>
      </c>
      <c r="AT49" s="166">
        <f>SUM(AT42:AT48)</f>
        <v>0</v>
      </c>
      <c r="AU49" s="271"/>
      <c r="AV49" s="25" t="s">
        <v>115</v>
      </c>
      <c r="AW49" s="166">
        <f>SUM(AW42:AW48)</f>
        <v>0</v>
      </c>
      <c r="AX49" s="271"/>
      <c r="AY49" s="25" t="s">
        <v>115</v>
      </c>
      <c r="AZ49" s="166">
        <f>SUM(AZ42:AZ48)</f>
        <v>0</v>
      </c>
      <c r="BA49" s="271"/>
      <c r="BB49" s="25" t="s">
        <v>115</v>
      </c>
      <c r="BC49" s="166">
        <f>SUM(BC42:BC48)</f>
        <v>0</v>
      </c>
      <c r="BD49" s="271"/>
      <c r="BE49" s="25" t="s">
        <v>115</v>
      </c>
      <c r="BF49" s="166">
        <f>SUM(BF42:BF48)</f>
        <v>0</v>
      </c>
    </row>
    <row r="50" spans="2:58" ht="15.75" customHeight="1" x14ac:dyDescent="0.25">
      <c r="B50" s="260" t="s">
        <v>45</v>
      </c>
      <c r="C50" s="111" t="s">
        <v>36</v>
      </c>
      <c r="D50" s="48">
        <f>COUNTIFS(JOURNAL!J:J,"TCDW",JOURNAL!P:P,"SF")</f>
        <v>0</v>
      </c>
      <c r="E50" s="56" t="s">
        <v>32</v>
      </c>
      <c r="F50" s="48">
        <f>COUNTIFS(JOURNAL!J:J,"TCDW",JOURNAL!O:O,"RF")</f>
        <v>0</v>
      </c>
      <c r="H50" s="260" t="s">
        <v>45</v>
      </c>
      <c r="I50" s="111" t="s">
        <v>36</v>
      </c>
      <c r="J50" s="48">
        <f>COUNTIFS(JOURNAL!J:J,"OCDW",JOURNAL!P:P,"SF")</f>
        <v>0</v>
      </c>
      <c r="K50" s="56" t="s">
        <v>32</v>
      </c>
      <c r="L50" s="48">
        <f>COUNTIFS(JOURNAL!J:J,"OCDW",JOURNAL!O:O,"RF")</f>
        <v>0</v>
      </c>
      <c r="N50" s="260" t="s">
        <v>45</v>
      </c>
      <c r="O50" s="111" t="s">
        <v>36</v>
      </c>
      <c r="P50" s="48">
        <f>COUNTIFS(JOURNAL!J:J,"OCP",JOURNAL!P:P,"SF")</f>
        <v>0</v>
      </c>
      <c r="Q50" s="56" t="s">
        <v>32</v>
      </c>
      <c r="R50" s="48">
        <f>COUNTIFS(JOURNAL!J:J,"OCP",JOURNAL!O:O,"RF")</f>
        <v>0</v>
      </c>
      <c r="Y50" s="273"/>
      <c r="Z50" s="272"/>
      <c r="AA50" s="29" t="s">
        <v>44</v>
      </c>
      <c r="AB50" s="164" t="e">
        <f>SUM(AB42,AB44,AB45,AB47)/AB49</f>
        <v>#DIV/0!</v>
      </c>
      <c r="AC50" s="272"/>
      <c r="AD50" s="29" t="s">
        <v>44</v>
      </c>
      <c r="AE50" s="164" t="e">
        <f>SUM(AE42,AE44,AE45,AE47)/AE49</f>
        <v>#DIV/0!</v>
      </c>
      <c r="AF50" s="272"/>
      <c r="AG50" s="29" t="s">
        <v>44</v>
      </c>
      <c r="AH50" s="164" t="e">
        <f>SUM(AH42,AH44,AH45,AH47)/AH49</f>
        <v>#DIV/0!</v>
      </c>
      <c r="AI50" s="272"/>
      <c r="AJ50" s="29" t="s">
        <v>44</v>
      </c>
      <c r="AK50" s="164" t="e">
        <f>SUM(AK42,AK44,AK45,AK47)/AK49</f>
        <v>#DIV/0!</v>
      </c>
      <c r="AL50" s="272"/>
      <c r="AM50" s="29" t="s">
        <v>44</v>
      </c>
      <c r="AN50" s="164" t="e">
        <f>SUM(AN42,AN44,AN45,AN47)/AN49</f>
        <v>#DIV/0!</v>
      </c>
      <c r="AO50" s="272"/>
      <c r="AP50" s="29" t="s">
        <v>44</v>
      </c>
      <c r="AQ50" s="164" t="e">
        <f>SUM(AQ42,AQ44,AQ45,AQ47)/AQ49</f>
        <v>#DIV/0!</v>
      </c>
      <c r="AR50" s="272"/>
      <c r="AS50" s="29" t="s">
        <v>44</v>
      </c>
      <c r="AT50" s="164" t="e">
        <f>SUM(AT42,AT44,AT45,AT47)/AT49</f>
        <v>#DIV/0!</v>
      </c>
      <c r="AU50" s="272"/>
      <c r="AV50" s="29" t="s">
        <v>44</v>
      </c>
      <c r="AW50" s="164" t="e">
        <f>SUM(AW42,AW44,AW45,AW47)/AW49</f>
        <v>#DIV/0!</v>
      </c>
      <c r="AX50" s="272"/>
      <c r="AY50" s="29" t="s">
        <v>44</v>
      </c>
      <c r="AZ50" s="164" t="e">
        <f>SUM(AZ42,AZ44,AZ45,AZ47)/AZ49</f>
        <v>#DIV/0!</v>
      </c>
      <c r="BA50" s="272"/>
      <c r="BB50" s="29" t="s">
        <v>44</v>
      </c>
      <c r="BC50" s="164" t="e">
        <f>SUM(BC42,BC44,BC45,BC47)/BC49</f>
        <v>#DIV/0!</v>
      </c>
      <c r="BD50" s="272"/>
      <c r="BE50" s="29" t="s">
        <v>44</v>
      </c>
      <c r="BF50" s="164" t="e">
        <f>SUM(BF42,BF44,BF45,BF47)/BF49</f>
        <v>#DIV/0!</v>
      </c>
    </row>
    <row r="51" spans="2:58" ht="15.75" customHeight="1" x14ac:dyDescent="0.25">
      <c r="B51" s="266"/>
      <c r="C51" s="112" t="s">
        <v>28</v>
      </c>
      <c r="D51" s="48">
        <f>COUNTIFS(JOURNAL!J:J,"TCDW",JOURNAL!P:P,"TC")</f>
        <v>0</v>
      </c>
      <c r="E51" s="57" t="s">
        <v>30</v>
      </c>
      <c r="F51" s="48">
        <f>COUNTIFS(JOURNAL!J:J,"TCDW",JOURNAL!O:O,"PS")</f>
        <v>0</v>
      </c>
      <c r="H51" s="266"/>
      <c r="I51" s="112" t="s">
        <v>28</v>
      </c>
      <c r="J51" s="48">
        <f>COUNTIFS(JOURNAL!J:J,"OCDW",JOURNAL!P:P,"TC")</f>
        <v>0</v>
      </c>
      <c r="K51" s="57" t="s">
        <v>30</v>
      </c>
      <c r="L51" s="48">
        <f>COUNTIFS(JOURNAL!J:J,"OCDW",JOURNAL!O:O,"PS")</f>
        <v>0</v>
      </c>
      <c r="N51" s="266"/>
      <c r="O51" s="112" t="s">
        <v>28</v>
      </c>
      <c r="P51" s="48">
        <f>COUNTIFS(JOURNAL!J:J,"OCP",JOURNAL!P:P,"TC")</f>
        <v>0</v>
      </c>
      <c r="Q51" s="57" t="s">
        <v>30</v>
      </c>
      <c r="R51" s="48">
        <f>COUNTIFS(JOURNAL!J:J,"OCP",JOURNAL!O:O,"PS")</f>
        <v>0</v>
      </c>
    </row>
    <row r="52" spans="2:58" ht="21" customHeight="1" x14ac:dyDescent="0.25">
      <c r="B52" s="266"/>
      <c r="C52" s="114" t="s">
        <v>37</v>
      </c>
      <c r="D52" s="48">
        <f>COUNTIFS(JOURNAL!J:J,"TCDW",JOURNAL!P:P,"DC")</f>
        <v>0</v>
      </c>
      <c r="E52" s="58" t="s">
        <v>31</v>
      </c>
      <c r="F52" s="48">
        <f>COUNTIFS(JOURNAL!J:J,"TCDW",JOURNAL!O:O,"LS")</f>
        <v>0</v>
      </c>
      <c r="H52" s="266"/>
      <c r="I52" s="114" t="s">
        <v>37</v>
      </c>
      <c r="J52" s="48">
        <f>COUNTIFS(JOURNAL!J:J,"OCDW",JOURNAL!P:P,"DC")</f>
        <v>0</v>
      </c>
      <c r="K52" s="58" t="s">
        <v>31</v>
      </c>
      <c r="L52" s="48">
        <f>COUNTIFS(JOURNAL!J:J,"OCDW",JOURNAL!O:O,"LS")</f>
        <v>0</v>
      </c>
      <c r="N52" s="266"/>
      <c r="O52" s="114" t="s">
        <v>37</v>
      </c>
      <c r="P52" s="48">
        <f>COUNTIFS(JOURNAL!J:J,"OCP",JOURNAL!P:P,"DC")</f>
        <v>0</v>
      </c>
      <c r="Q52" s="58" t="s">
        <v>31</v>
      </c>
      <c r="R52" s="48">
        <f>COUNTIFS(JOURNAL!J:J,"OCP",JOURNAL!O:O,"LS")</f>
        <v>0</v>
      </c>
      <c r="Y52" s="273" t="s">
        <v>73</v>
      </c>
      <c r="Z52" s="270" t="s">
        <v>6</v>
      </c>
      <c r="AA52" s="54" t="s">
        <v>27</v>
      </c>
      <c r="AB52" s="165">
        <f>COUNTIFS(JOURNAL!F:F,"6",JOURNAL!J:J,"TCDP",JOURNAL!O:O,"TP")</f>
        <v>0</v>
      </c>
      <c r="AC52" s="270" t="s">
        <v>7</v>
      </c>
      <c r="AD52" s="54" t="s">
        <v>27</v>
      </c>
      <c r="AE52" s="165">
        <f>COUNTIFS(JOURNAL!F:F,"6",JOURNAL!J:J,"OCDP",JOURNAL!O:O,"TP")</f>
        <v>0</v>
      </c>
      <c r="AF52" s="270" t="s">
        <v>9</v>
      </c>
      <c r="AG52" s="54" t="s">
        <v>27</v>
      </c>
      <c r="AH52" s="165">
        <f>COUNTIFS(JOURNAL!F:F,"6",JOURNAL!J:J,"TCDL",JOURNAL!O:O,"TP")</f>
        <v>0</v>
      </c>
      <c r="AI52" s="270" t="s">
        <v>10</v>
      </c>
      <c r="AJ52" s="54" t="s">
        <v>27</v>
      </c>
      <c r="AK52" s="165">
        <f>COUNTIFS(JOURNAL!F:F,"6",JOURNAL!J:J,"OCDL",JOURNAL!O:O,"TP")</f>
        <v>0</v>
      </c>
      <c r="AL52" s="270" t="s">
        <v>8</v>
      </c>
      <c r="AM52" s="54" t="s">
        <v>27</v>
      </c>
      <c r="AN52" s="165">
        <f>COUNTIFS(JOURNAL!F:F,"6",JOURNAL!J:J,"TCDW",JOURNAL!O:O,"TP")</f>
        <v>0</v>
      </c>
      <c r="AO52" s="270" t="s">
        <v>11</v>
      </c>
      <c r="AP52" s="54" t="s">
        <v>27</v>
      </c>
      <c r="AQ52" s="165">
        <f>COUNTIFS(JOURNAL!F:F,"6",JOURNAL!J:J,"OCDW",JOURNAL!O:O,"TP")</f>
        <v>0</v>
      </c>
      <c r="AR52" s="270" t="s">
        <v>12</v>
      </c>
      <c r="AS52" s="54" t="s">
        <v>27</v>
      </c>
      <c r="AT52" s="165">
        <f>COUNTIFS(JOURNAL!F:F,"6",JOURNAL!J:J,"TCDC",JOURNAL!O:O,"TP")</f>
        <v>0</v>
      </c>
      <c r="AU52" s="270" t="s">
        <v>13</v>
      </c>
      <c r="AV52" s="54" t="s">
        <v>27</v>
      </c>
      <c r="AW52" s="165">
        <f>COUNTIFS(JOURNAL!F:F,"6",JOURNAL!J:J,"OCDC",JOURNAL!O:O,"TP")</f>
        <v>0</v>
      </c>
      <c r="AX52" s="270" t="s">
        <v>14</v>
      </c>
      <c r="AY52" s="54" t="s">
        <v>27</v>
      </c>
      <c r="AZ52" s="165">
        <f>COUNTIFS(JOURNAL!F:F,"6",JOURNAL!J:J,"TCP",JOURNAL!O:O,"TP")</f>
        <v>0</v>
      </c>
      <c r="BA52" s="270" t="s">
        <v>15</v>
      </c>
      <c r="BB52" s="54" t="s">
        <v>27</v>
      </c>
      <c r="BC52" s="165">
        <f>COUNTIFS(JOURNAL!F:F,"6",JOURNAL!J:J,"OCP",JOURNAL!O:O,"TP")</f>
        <v>0</v>
      </c>
      <c r="BD52" s="270" t="s">
        <v>16</v>
      </c>
      <c r="BE52" s="54" t="s">
        <v>27</v>
      </c>
      <c r="BF52" s="165">
        <f>COUNTIFS(JOURNAL!F:F,"6",JOURNAL!J:J,"RE",JOURNAL!O:O,"TP")</f>
        <v>0</v>
      </c>
    </row>
    <row r="53" spans="2:58" ht="15.75" customHeight="1" x14ac:dyDescent="0.25">
      <c r="B53" s="266"/>
      <c r="C53" s="115" t="s">
        <v>39</v>
      </c>
      <c r="D53" s="48">
        <f>COUNTIFS(JOURNAL!J:J,"TCDW",JOURNAL!P:P,"RNG")</f>
        <v>0</v>
      </c>
      <c r="E53" s="59" t="s">
        <v>33</v>
      </c>
      <c r="F53" s="48">
        <f>COUNTIFS(JOURNAL!J:J,"TCDW",JOURNAL!O:O,"OT +")</f>
        <v>0</v>
      </c>
      <c r="H53" s="266"/>
      <c r="I53" s="115" t="s">
        <v>39</v>
      </c>
      <c r="J53" s="48">
        <f>COUNTIFS(JOURNAL!J:J,"OCDW",JOURNAL!P:P,"RNG")</f>
        <v>0</v>
      </c>
      <c r="K53" s="59" t="s">
        <v>33</v>
      </c>
      <c r="L53" s="48">
        <f>COUNTIFS(JOURNAL!J:J,"OCDW",JOURNAL!O:O,"OT +")</f>
        <v>0</v>
      </c>
      <c r="N53" s="266"/>
      <c r="O53" s="115" t="s">
        <v>39</v>
      </c>
      <c r="P53" s="48">
        <f>COUNTIFS(JOURNAL!J:J,"OCP",JOURNAL!P:P,"RNG")</f>
        <v>0</v>
      </c>
      <c r="Q53" s="59" t="s">
        <v>33</v>
      </c>
      <c r="R53" s="48">
        <f>COUNTIFS(JOURNAL!J:J,"OCP",JOURNAL!O:O,"OT +")</f>
        <v>0</v>
      </c>
      <c r="Y53" s="273"/>
      <c r="Z53" s="271"/>
      <c r="AA53" s="55" t="s">
        <v>29</v>
      </c>
      <c r="AB53" s="165">
        <f>COUNTIFS(JOURNAL!F:F,"6",JOURNAL!J:J,"TCDP",JOURNAL!O:O,"SL")</f>
        <v>0</v>
      </c>
      <c r="AC53" s="271"/>
      <c r="AD53" s="55" t="s">
        <v>29</v>
      </c>
      <c r="AE53" s="165">
        <f>COUNTIFS(JOURNAL!F:F,"6",JOURNAL!J:J,"OCDP",JOURNAL!O:O,"SL")</f>
        <v>0</v>
      </c>
      <c r="AF53" s="271"/>
      <c r="AG53" s="55" t="s">
        <v>29</v>
      </c>
      <c r="AH53" s="165">
        <f>COUNTIFS(JOURNAL!F:F,"6",JOURNAL!J:J,"TCDL",JOURNAL!O:O,"SL")</f>
        <v>0</v>
      </c>
      <c r="AI53" s="271"/>
      <c r="AJ53" s="55" t="s">
        <v>29</v>
      </c>
      <c r="AK53" s="165">
        <f>COUNTIFS(JOURNAL!F:F,"6",JOURNAL!J:J,"OCDL",JOURNAL!O:O,"SL")</f>
        <v>0</v>
      </c>
      <c r="AL53" s="271"/>
      <c r="AM53" s="55" t="s">
        <v>29</v>
      </c>
      <c r="AN53" s="165">
        <f>COUNTIFS(JOURNAL!F:F,"6",JOURNAL!J:J,"TCDW",JOURNAL!O:O,"SL")</f>
        <v>0</v>
      </c>
      <c r="AO53" s="271"/>
      <c r="AP53" s="55" t="s">
        <v>29</v>
      </c>
      <c r="AQ53" s="165">
        <f>COUNTIFS(JOURNAL!F:F,"6",JOURNAL!J:J,"OCDW",JOURNAL!O:O,"SL")</f>
        <v>0</v>
      </c>
      <c r="AR53" s="271"/>
      <c r="AS53" s="55" t="s">
        <v>29</v>
      </c>
      <c r="AT53" s="165">
        <f>COUNTIFS(JOURNAL!F:F,"6",JOURNAL!J:J,"TCDC",JOURNAL!O:O,"SL")</f>
        <v>0</v>
      </c>
      <c r="AU53" s="271"/>
      <c r="AV53" s="55" t="s">
        <v>29</v>
      </c>
      <c r="AW53" s="165">
        <f>COUNTIFS(JOURNAL!F:F,"6",JOURNAL!J:J,"OCDC",JOURNAL!O:O,"SL")</f>
        <v>0</v>
      </c>
      <c r="AX53" s="271"/>
      <c r="AY53" s="55" t="s">
        <v>29</v>
      </c>
      <c r="AZ53" s="165">
        <f>COUNTIFS(JOURNAL!F:F,"6",JOURNAL!J:J,"TCP",JOURNAL!O:O,"SL")</f>
        <v>0</v>
      </c>
      <c r="BA53" s="271"/>
      <c r="BB53" s="55" t="s">
        <v>29</v>
      </c>
      <c r="BC53" s="165">
        <f>COUNTIFS(JOURNAL!F:F,"6",JOURNAL!J:J,"OCP",JOURNAL!O:O,"SL")</f>
        <v>0</v>
      </c>
      <c r="BD53" s="271"/>
      <c r="BE53" s="55" t="s">
        <v>29</v>
      </c>
      <c r="BF53" s="165">
        <f>COUNTIFS(JOURNAL!F:F,"6",JOURNAL!J:J,"RE",JOURNAL!O:O,"SL")</f>
        <v>0</v>
      </c>
    </row>
    <row r="54" spans="2:58" ht="15.75" customHeight="1" x14ac:dyDescent="0.25">
      <c r="B54" s="266"/>
      <c r="C54" s="116" t="s">
        <v>38</v>
      </c>
      <c r="D54" s="48">
        <f>COUNTIFS(JOURNAL!J:J,"TCDW",JOURNAL!P:P,"Keep Went")</f>
        <v>0</v>
      </c>
      <c r="E54" s="60" t="s">
        <v>34</v>
      </c>
      <c r="F54" s="48">
        <f>COUNTIFS(JOURNAL!J:J,"TCDW",JOURNAL!O:O,"OT -")</f>
        <v>0</v>
      </c>
      <c r="H54" s="266"/>
      <c r="I54" s="116" t="s">
        <v>38</v>
      </c>
      <c r="J54" s="48">
        <f>COUNTIFS(JOURNAL!J:J,"Keep Went",JOURNAL!P:P,"SF")</f>
        <v>0</v>
      </c>
      <c r="K54" s="60" t="s">
        <v>34</v>
      </c>
      <c r="L54" s="48">
        <f>COUNTIFS(JOURNAL!J:J,"OCDW",JOURNAL!O:O,"OT -")</f>
        <v>0</v>
      </c>
      <c r="N54" s="266"/>
      <c r="O54" s="116" t="s">
        <v>38</v>
      </c>
      <c r="P54" s="48">
        <f>COUNTIFS(JOURNAL!J:J,"OCP",JOURNAL!P:P,"Keep Went")</f>
        <v>0</v>
      </c>
      <c r="Q54" s="60" t="s">
        <v>34</v>
      </c>
      <c r="R54" s="48">
        <f>COUNTIFS(JOURNAL!J:J,"OCP",JOURNAL!O:O,"OT -")</f>
        <v>0</v>
      </c>
      <c r="Y54" s="273"/>
      <c r="Z54" s="271"/>
      <c r="AA54" s="56" t="s">
        <v>32</v>
      </c>
      <c r="AB54" s="165">
        <f>COUNTIFS(JOURNAL!F:F,"6",JOURNAL!J:J,"TCDP",JOURNAL!O:O,"RF")</f>
        <v>0</v>
      </c>
      <c r="AC54" s="271"/>
      <c r="AD54" s="56" t="s">
        <v>32</v>
      </c>
      <c r="AE54" s="165">
        <f>COUNTIFS(JOURNAL!F:F,"6",JOURNAL!J:J,"OCDP",JOURNAL!O:O,"RF")</f>
        <v>0</v>
      </c>
      <c r="AF54" s="271"/>
      <c r="AG54" s="56" t="s">
        <v>32</v>
      </c>
      <c r="AH54" s="165">
        <f>COUNTIFS(JOURNAL!F:F,"6",JOURNAL!J:J,"TCDL",JOURNAL!O:O,"RF")</f>
        <v>0</v>
      </c>
      <c r="AI54" s="271"/>
      <c r="AJ54" s="56" t="s">
        <v>32</v>
      </c>
      <c r="AK54" s="165">
        <f>COUNTIFS(JOURNAL!F:F,"6",JOURNAL!J:J,"OCDL",JOURNAL!O:O,"RF")</f>
        <v>0</v>
      </c>
      <c r="AL54" s="271"/>
      <c r="AM54" s="56" t="s">
        <v>32</v>
      </c>
      <c r="AN54" s="165">
        <f>COUNTIFS(JOURNAL!F:F,"6",JOURNAL!J:J,"TCDW",JOURNAL!O:O,"RF")</f>
        <v>0</v>
      </c>
      <c r="AO54" s="271"/>
      <c r="AP54" s="56" t="s">
        <v>32</v>
      </c>
      <c r="AQ54" s="165">
        <f>COUNTIFS(JOURNAL!F:F,"6",JOURNAL!J:J,"OCDW",JOURNAL!O:O,"RF")</f>
        <v>0</v>
      </c>
      <c r="AR54" s="271"/>
      <c r="AS54" s="56" t="s">
        <v>32</v>
      </c>
      <c r="AT54" s="165">
        <f>COUNTIFS(JOURNAL!F:F,"6",JOURNAL!J:J,"TCDC",JOURNAL!O:O,"RF")</f>
        <v>0</v>
      </c>
      <c r="AU54" s="271"/>
      <c r="AV54" s="56" t="s">
        <v>32</v>
      </c>
      <c r="AW54" s="165">
        <f>COUNTIFS(JOURNAL!F:F,"6",JOURNAL!J:J,"OCDC",JOURNAL!O:O,"RF")</f>
        <v>0</v>
      </c>
      <c r="AX54" s="271"/>
      <c r="AY54" s="56" t="s">
        <v>32</v>
      </c>
      <c r="AZ54" s="165">
        <f>COUNTIFS(JOURNAL!F:F,"6",JOURNAL!J:J,"TCP",JOURNAL!O:O,"RF")</f>
        <v>0</v>
      </c>
      <c r="BA54" s="271"/>
      <c r="BB54" s="56" t="s">
        <v>32</v>
      </c>
      <c r="BC54" s="165">
        <f>COUNTIFS(JOURNAL!F:F,"6",JOURNAL!J:J,"OCP",JOURNAL!O:O,"RF")</f>
        <v>0</v>
      </c>
      <c r="BD54" s="271"/>
      <c r="BE54" s="56" t="s">
        <v>32</v>
      </c>
      <c r="BF54" s="165">
        <f>COUNTIFS(JOURNAL!F:F,"6",JOURNAL!J:J,"RE",JOURNAL!O:O,"RF")</f>
        <v>0</v>
      </c>
    </row>
    <row r="55" spans="2:58" ht="15" customHeight="1" x14ac:dyDescent="0.25">
      <c r="B55" s="261"/>
      <c r="C55" s="121" t="s">
        <v>44</v>
      </c>
      <c r="D55" s="155" t="e">
        <f>SUM(F48,F50,F51,F53)/C48</f>
        <v>#DIV/0!</v>
      </c>
      <c r="E55" s="121" t="s">
        <v>159</v>
      </c>
      <c r="F55" s="155">
        <f>SUMIF(JOURNAL!J:J,"TCDW",JOURNAL!Q:Q)</f>
        <v>0</v>
      </c>
      <c r="H55" s="261"/>
      <c r="I55" s="121" t="s">
        <v>44</v>
      </c>
      <c r="J55" s="155" t="e">
        <f>SUM(L48,L50,L51,L53)/I48</f>
        <v>#DIV/0!</v>
      </c>
      <c r="K55" s="121" t="s">
        <v>159</v>
      </c>
      <c r="L55" s="155">
        <f>SUMIF(JOURNAL!J:J,"OCDW",JOURNAL!Q:Q)</f>
        <v>0</v>
      </c>
      <c r="N55" s="261"/>
      <c r="O55" s="121" t="s">
        <v>44</v>
      </c>
      <c r="P55" s="155" t="e">
        <f>SUM(R48,R50,R51,R53)/O48</f>
        <v>#DIV/0!</v>
      </c>
      <c r="Q55" s="121" t="s">
        <v>159</v>
      </c>
      <c r="R55" s="155">
        <f>SUMIF(JOURNAL!J:J,"OCP",JOURNAL!Q:Q)</f>
        <v>0</v>
      </c>
      <c r="Y55" s="273"/>
      <c r="Z55" s="271"/>
      <c r="AA55" s="57" t="s">
        <v>30</v>
      </c>
      <c r="AB55" s="165">
        <f>COUNTIFS(JOURNAL!F:F,"6",JOURNAL!J:J,"TCDP",JOURNAL!O:O,"PS")</f>
        <v>0</v>
      </c>
      <c r="AC55" s="271"/>
      <c r="AD55" s="57" t="s">
        <v>30</v>
      </c>
      <c r="AE55" s="165">
        <f>COUNTIFS(JOURNAL!F:F,"6",JOURNAL!J:J,"OCDP",JOURNAL!O:O,"PS")</f>
        <v>0</v>
      </c>
      <c r="AF55" s="271"/>
      <c r="AG55" s="57" t="s">
        <v>30</v>
      </c>
      <c r="AH55" s="165">
        <f>COUNTIFS(JOURNAL!F:F,"6",JOURNAL!J:J,"TCDL",JOURNAL!O:O,"PS")</f>
        <v>0</v>
      </c>
      <c r="AI55" s="271"/>
      <c r="AJ55" s="57" t="s">
        <v>30</v>
      </c>
      <c r="AK55" s="165">
        <f>COUNTIFS(JOURNAL!F:F,"6",JOURNAL!J:J,"OCDL",JOURNAL!O:O,"PS")</f>
        <v>0</v>
      </c>
      <c r="AL55" s="271"/>
      <c r="AM55" s="57" t="s">
        <v>30</v>
      </c>
      <c r="AN55" s="165">
        <f>COUNTIFS(JOURNAL!F:F,"6",JOURNAL!J:J,"TCDW",JOURNAL!O:O,"PS")</f>
        <v>0</v>
      </c>
      <c r="AO55" s="271"/>
      <c r="AP55" s="57" t="s">
        <v>30</v>
      </c>
      <c r="AQ55" s="165">
        <f>COUNTIFS(JOURNAL!F:F,"6",JOURNAL!J:J,"OCDW",JOURNAL!O:O,"PS")</f>
        <v>0</v>
      </c>
      <c r="AR55" s="271"/>
      <c r="AS55" s="57" t="s">
        <v>30</v>
      </c>
      <c r="AT55" s="165">
        <f>COUNTIFS(JOURNAL!F:F,"6",JOURNAL!J:J,"TCDC",JOURNAL!O:O,"PS")</f>
        <v>0</v>
      </c>
      <c r="AU55" s="271"/>
      <c r="AV55" s="57" t="s">
        <v>30</v>
      </c>
      <c r="AW55" s="165">
        <f>COUNTIFS(JOURNAL!F:F,"6",JOURNAL!J:J,"OCDC",JOURNAL!O:O,"PS")</f>
        <v>0</v>
      </c>
      <c r="AX55" s="271"/>
      <c r="AY55" s="57" t="s">
        <v>30</v>
      </c>
      <c r="AZ55" s="165">
        <f>COUNTIFS(JOURNAL!F:F,"6",JOURNAL!J:J,"TCP",JOURNAL!O:O,"PS")</f>
        <v>0</v>
      </c>
      <c r="BA55" s="271"/>
      <c r="BB55" s="57" t="s">
        <v>30</v>
      </c>
      <c r="BC55" s="165">
        <f>COUNTIFS(JOURNAL!F:F,"6",JOURNAL!J:J,"OCP",JOURNAL!O:O,"PS")</f>
        <v>0</v>
      </c>
      <c r="BD55" s="271"/>
      <c r="BE55" s="57" t="s">
        <v>30</v>
      </c>
      <c r="BF55" s="165">
        <f>COUNTIFS(JOURNAL!F:F,"6",JOURNAL!J:J,"RE",JOURNAL!O:O,"PS")</f>
        <v>0</v>
      </c>
    </row>
    <row r="56" spans="2:58" ht="15.75" x14ac:dyDescent="0.25">
      <c r="Y56" s="273"/>
      <c r="Z56" s="271"/>
      <c r="AA56" s="58" t="s">
        <v>31</v>
      </c>
      <c r="AB56" s="165">
        <f>COUNTIFS(JOURNAL!F:F,"6",JOURNAL!J:J,"TCDP",JOURNAL!O:O,"LS")</f>
        <v>0</v>
      </c>
      <c r="AC56" s="271"/>
      <c r="AD56" s="58" t="s">
        <v>31</v>
      </c>
      <c r="AE56" s="165">
        <f>COUNTIFS(JOURNAL!F:F,"6",JOURNAL!J:J,"OCDP",JOURNAL!O:O,"LS")</f>
        <v>0</v>
      </c>
      <c r="AF56" s="271"/>
      <c r="AG56" s="58" t="s">
        <v>31</v>
      </c>
      <c r="AH56" s="165">
        <f>COUNTIFS(JOURNAL!F:F,"6",JOURNAL!J:J,"TCDL",JOURNAL!O:O,"LS")</f>
        <v>0</v>
      </c>
      <c r="AI56" s="271"/>
      <c r="AJ56" s="58" t="s">
        <v>31</v>
      </c>
      <c r="AK56" s="165">
        <f>COUNTIFS(JOURNAL!F:F,"6",JOURNAL!J:J,"OCDL",JOURNAL!O:O,"LS")</f>
        <v>0</v>
      </c>
      <c r="AL56" s="271"/>
      <c r="AM56" s="58" t="s">
        <v>31</v>
      </c>
      <c r="AN56" s="165">
        <f>COUNTIFS(JOURNAL!F:F,"6",JOURNAL!J:J,"TCDW",JOURNAL!O:O,"LS")</f>
        <v>0</v>
      </c>
      <c r="AO56" s="271"/>
      <c r="AP56" s="58" t="s">
        <v>31</v>
      </c>
      <c r="AQ56" s="165">
        <f>COUNTIFS(JOURNAL!F:F,"6",JOURNAL!J:J,"OCDW",JOURNAL!O:O,"LS")</f>
        <v>0</v>
      </c>
      <c r="AR56" s="271"/>
      <c r="AS56" s="58" t="s">
        <v>31</v>
      </c>
      <c r="AT56" s="165">
        <f>COUNTIFS(JOURNAL!F:F,"6",JOURNAL!J:J,"TCDC",JOURNAL!O:O,"LS")</f>
        <v>0</v>
      </c>
      <c r="AU56" s="271"/>
      <c r="AV56" s="58" t="s">
        <v>31</v>
      </c>
      <c r="AW56" s="165">
        <f>COUNTIFS(JOURNAL!F:F,"6",JOURNAL!J:J,"OCDC",JOURNAL!O:O,"LS")</f>
        <v>0</v>
      </c>
      <c r="AX56" s="271"/>
      <c r="AY56" s="58" t="s">
        <v>31</v>
      </c>
      <c r="AZ56" s="165">
        <f>COUNTIFS(JOURNAL!F:F,"6",JOURNAL!J:J,"TCP",JOURNAL!O:O,"LS")</f>
        <v>0</v>
      </c>
      <c r="BA56" s="271"/>
      <c r="BB56" s="58" t="s">
        <v>31</v>
      </c>
      <c r="BC56" s="165">
        <f>COUNTIFS(JOURNAL!F:F,"6",JOURNAL!J:J,"OCP",JOURNAL!O:O,"LS")</f>
        <v>0</v>
      </c>
      <c r="BD56" s="271"/>
      <c r="BE56" s="58" t="s">
        <v>31</v>
      </c>
      <c r="BF56" s="165">
        <f>COUNTIFS(JOURNAL!F:F,"6",JOURNAL!J:J,"RE",JOURNAL!O:O,"LS")</f>
        <v>0</v>
      </c>
    </row>
    <row r="57" spans="2:58" ht="24" customHeight="1" x14ac:dyDescent="0.25">
      <c r="Y57" s="273"/>
      <c r="Z57" s="271"/>
      <c r="AA57" s="59" t="s">
        <v>33</v>
      </c>
      <c r="AB57" s="165">
        <f>COUNTIFS(JOURNAL!F:F,"6",JOURNAL!J:J,"TCDP",JOURNAL!O:O,"OT +")</f>
        <v>0</v>
      </c>
      <c r="AC57" s="271"/>
      <c r="AD57" s="59" t="s">
        <v>33</v>
      </c>
      <c r="AE57" s="165">
        <f>COUNTIFS(JOURNAL!F:F,"6",JOURNAL!J:J,"OCDP",JOURNAL!O:O,"OT +")</f>
        <v>0</v>
      </c>
      <c r="AF57" s="271"/>
      <c r="AG57" s="59" t="s">
        <v>33</v>
      </c>
      <c r="AH57" s="165">
        <f>COUNTIFS(JOURNAL!F:F,"6",JOURNAL!J:J,"TCDL",JOURNAL!O:O,"OT +")</f>
        <v>0</v>
      </c>
      <c r="AI57" s="271"/>
      <c r="AJ57" s="59" t="s">
        <v>33</v>
      </c>
      <c r="AK57" s="165">
        <f>COUNTIFS(JOURNAL!F:F,"6",JOURNAL!J:J,"OCDL",JOURNAL!O:O,"OT  +")</f>
        <v>0</v>
      </c>
      <c r="AL57" s="271"/>
      <c r="AM57" s="59" t="s">
        <v>33</v>
      </c>
      <c r="AN57" s="165">
        <f>COUNTIFS(JOURNAL!F:F,"6",JOURNAL!J:J,"TCDW",JOURNAL!O:O,"OT +")</f>
        <v>0</v>
      </c>
      <c r="AO57" s="271"/>
      <c r="AP57" s="59" t="s">
        <v>33</v>
      </c>
      <c r="AQ57" s="165">
        <f>COUNTIFS(JOURNAL!F:F,"6",JOURNAL!J:J,"OCDW",JOURNAL!O:O,"OT +")</f>
        <v>0</v>
      </c>
      <c r="AR57" s="271"/>
      <c r="AS57" s="59" t="s">
        <v>33</v>
      </c>
      <c r="AT57" s="165">
        <f>COUNTIFS(JOURNAL!F:F,"6",JOURNAL!J:J,"TCDC",JOURNAL!O:O,"OT +")</f>
        <v>0</v>
      </c>
      <c r="AU57" s="271"/>
      <c r="AV57" s="59" t="s">
        <v>33</v>
      </c>
      <c r="AW57" s="165">
        <f>COUNTIFS(JOURNAL!F:F,"6",JOURNAL!J:J,"OCDC",JOURNAL!O:O,"OT +")</f>
        <v>0</v>
      </c>
      <c r="AX57" s="271"/>
      <c r="AY57" s="59" t="s">
        <v>33</v>
      </c>
      <c r="AZ57" s="165">
        <f>COUNTIFS(JOURNAL!F:F,"6",JOURNAL!J:J,"TCP",JOURNAL!O:O,"OT +")</f>
        <v>0</v>
      </c>
      <c r="BA57" s="271"/>
      <c r="BB57" s="59" t="s">
        <v>33</v>
      </c>
      <c r="BC57" s="165">
        <f>COUNTIFS(JOURNAL!F:F,"6",JOURNAL!J:J,"OCP",JOURNAL!O:O,"OT +")</f>
        <v>0</v>
      </c>
      <c r="BD57" s="271"/>
      <c r="BE57" s="59" t="s">
        <v>33</v>
      </c>
      <c r="BF57" s="165">
        <f>COUNTIFS(JOURNAL!F:F,"6",JOURNAL!J:J,"RE",JOURNAL!O:O,"OT +")</f>
        <v>0</v>
      </c>
    </row>
    <row r="58" spans="2:58" ht="19.5" customHeight="1" x14ac:dyDescent="0.25">
      <c r="Y58" s="273"/>
      <c r="Z58" s="271"/>
      <c r="AA58" s="60" t="s">
        <v>34</v>
      </c>
      <c r="AB58" s="165">
        <f>COUNTIFS(JOURNAL!F:F,"6",JOURNAL!J:J,"TCDP",JOURNAL!O:O,"OT -")</f>
        <v>0</v>
      </c>
      <c r="AC58" s="271"/>
      <c r="AD58" s="60" t="s">
        <v>34</v>
      </c>
      <c r="AE58" s="165">
        <f>COUNTIFS(JOURNAL!F:F,"6",JOURNAL!J:J,"OCDP",JOURNAL!O:O,"OT -")</f>
        <v>0</v>
      </c>
      <c r="AF58" s="271"/>
      <c r="AG58" s="60" t="s">
        <v>34</v>
      </c>
      <c r="AH58" s="165">
        <f>COUNTIFS(JOURNAL!F:F,"6",JOURNAL!J:J,"TCDL",JOURNAL!O:O,"OT -")</f>
        <v>0</v>
      </c>
      <c r="AI58" s="271"/>
      <c r="AJ58" s="60" t="s">
        <v>34</v>
      </c>
      <c r="AK58" s="165">
        <f>COUNTIFS(JOURNAL!F:F,"6",JOURNAL!J:J,"OCDL",JOURNAL!O:O,"OT -")</f>
        <v>0</v>
      </c>
      <c r="AL58" s="271"/>
      <c r="AM58" s="60" t="s">
        <v>34</v>
      </c>
      <c r="AN58" s="165">
        <f>COUNTIFS(JOURNAL!F:F,"6",JOURNAL!J:J,"TCDW",JOURNAL!O:O,"OT -")</f>
        <v>0</v>
      </c>
      <c r="AO58" s="271"/>
      <c r="AP58" s="60" t="s">
        <v>34</v>
      </c>
      <c r="AQ58" s="165">
        <f>COUNTIFS(JOURNAL!F:F,"6",JOURNAL!J:J,"OCDW",JOURNAL!O:O,"OT -")</f>
        <v>0</v>
      </c>
      <c r="AR58" s="271"/>
      <c r="AS58" s="60" t="s">
        <v>34</v>
      </c>
      <c r="AT58" s="165">
        <f>COUNTIFS(JOURNAL!F:F,"6",JOURNAL!J:J,"TCDC",JOURNAL!O:O,"OT -")</f>
        <v>0</v>
      </c>
      <c r="AU58" s="271"/>
      <c r="AV58" s="60" t="s">
        <v>34</v>
      </c>
      <c r="AW58" s="165">
        <f>COUNTIFS(JOURNAL!F:F,"6",JOURNAL!J:J,"OCDC",JOURNAL!O:O,"OT -")</f>
        <v>0</v>
      </c>
      <c r="AX58" s="271"/>
      <c r="AY58" s="60" t="s">
        <v>34</v>
      </c>
      <c r="AZ58" s="165">
        <f>COUNTIFS(JOURNAL!F:F,"6",JOURNAL!J:J,"TCP",JOURNAL!O:O,"OT -")</f>
        <v>0</v>
      </c>
      <c r="BA58" s="271"/>
      <c r="BB58" s="60" t="s">
        <v>34</v>
      </c>
      <c r="BC58" s="165">
        <f>COUNTIFS(JOURNAL!F:F,"6",JOURNAL!J:J,"OCP",JOURNAL!O:O,"OT -")</f>
        <v>0</v>
      </c>
      <c r="BD58" s="271"/>
      <c r="BE58" s="60" t="s">
        <v>34</v>
      </c>
      <c r="BF58" s="165">
        <f>COUNTIFS(JOURNAL!F:F,"6",JOURNAL!J:J,"RE",JOURNAL!O:O,"OT -")</f>
        <v>0</v>
      </c>
    </row>
    <row r="59" spans="2:58" ht="18" customHeight="1" x14ac:dyDescent="0.25">
      <c r="Y59" s="273"/>
      <c r="Z59" s="271"/>
      <c r="AA59" s="25" t="s">
        <v>115</v>
      </c>
      <c r="AB59" s="166">
        <f>SUM(AB52:AB58)</f>
        <v>0</v>
      </c>
      <c r="AC59" s="271"/>
      <c r="AD59" s="25" t="s">
        <v>115</v>
      </c>
      <c r="AE59" s="166">
        <f>SUM(AE52:AE58)</f>
        <v>0</v>
      </c>
      <c r="AF59" s="271"/>
      <c r="AG59" s="25" t="s">
        <v>115</v>
      </c>
      <c r="AH59" s="166">
        <f>SUM(AH52:AH58)</f>
        <v>0</v>
      </c>
      <c r="AI59" s="271"/>
      <c r="AJ59" s="25" t="s">
        <v>115</v>
      </c>
      <c r="AK59" s="166">
        <f>SUM(AK52:AK58)</f>
        <v>0</v>
      </c>
      <c r="AL59" s="271"/>
      <c r="AM59" s="25" t="s">
        <v>115</v>
      </c>
      <c r="AN59" s="166">
        <f>SUM(AN52:AN58)</f>
        <v>0</v>
      </c>
      <c r="AO59" s="271"/>
      <c r="AP59" s="25" t="s">
        <v>115</v>
      </c>
      <c r="AQ59" s="166">
        <f>SUM(AQ52:AQ58)</f>
        <v>0</v>
      </c>
      <c r="AR59" s="271"/>
      <c r="AS59" s="25" t="s">
        <v>115</v>
      </c>
      <c r="AT59" s="166">
        <f>SUM(AT52:AT58)</f>
        <v>0</v>
      </c>
      <c r="AU59" s="271"/>
      <c r="AV59" s="25" t="s">
        <v>115</v>
      </c>
      <c r="AW59" s="166">
        <f>SUM(AW52:AW58)</f>
        <v>0</v>
      </c>
      <c r="AX59" s="271"/>
      <c r="AY59" s="25" t="s">
        <v>115</v>
      </c>
      <c r="AZ59" s="166">
        <f>SUM(AZ52:AZ58)</f>
        <v>0</v>
      </c>
      <c r="BA59" s="271"/>
      <c r="BB59" s="25" t="s">
        <v>115</v>
      </c>
      <c r="BC59" s="166">
        <f>SUM(BC52:BC58)</f>
        <v>0</v>
      </c>
      <c r="BD59" s="271"/>
      <c r="BE59" s="25" t="s">
        <v>115</v>
      </c>
      <c r="BF59" s="166">
        <f>SUM(BF52:BF58)</f>
        <v>0</v>
      </c>
    </row>
    <row r="60" spans="2:58" ht="17.25" customHeight="1" x14ac:dyDescent="0.25">
      <c r="Y60" s="273"/>
      <c r="Z60" s="272"/>
      <c r="AA60" s="29" t="s">
        <v>44</v>
      </c>
      <c r="AB60" s="164" t="e">
        <f>SUM(AB52,AB54,AB55,AB57)/AB59</f>
        <v>#DIV/0!</v>
      </c>
      <c r="AC60" s="272"/>
      <c r="AD60" s="29" t="s">
        <v>44</v>
      </c>
      <c r="AE60" s="164" t="e">
        <f>SUM(AE52,AE54,AE55,AE57)/AE59</f>
        <v>#DIV/0!</v>
      </c>
      <c r="AF60" s="272"/>
      <c r="AG60" s="29" t="s">
        <v>44</v>
      </c>
      <c r="AH60" s="164" t="e">
        <f>SUM(AH52,AH54,AH55,AH57)/AH59</f>
        <v>#DIV/0!</v>
      </c>
      <c r="AI60" s="272"/>
      <c r="AJ60" s="29" t="s">
        <v>44</v>
      </c>
      <c r="AK60" s="164" t="e">
        <f>SUM(AK52,AK54,AK55,AK57)/AK59</f>
        <v>#DIV/0!</v>
      </c>
      <c r="AL60" s="272"/>
      <c r="AM60" s="29" t="s">
        <v>44</v>
      </c>
      <c r="AN60" s="164" t="e">
        <f>SUM(AN52,AN54,AN55,AN57)/AN59</f>
        <v>#DIV/0!</v>
      </c>
      <c r="AO60" s="272"/>
      <c r="AP60" s="29" t="s">
        <v>44</v>
      </c>
      <c r="AQ60" s="164" t="e">
        <f>SUM(AQ52,AQ54,AQ55,AQ57)/AQ59</f>
        <v>#DIV/0!</v>
      </c>
      <c r="AR60" s="272"/>
      <c r="AS60" s="29" t="s">
        <v>44</v>
      </c>
      <c r="AT60" s="164" t="e">
        <f>SUM(AT52,AT54,AT55,AT57)/AT59</f>
        <v>#DIV/0!</v>
      </c>
      <c r="AU60" s="272"/>
      <c r="AV60" s="29" t="s">
        <v>44</v>
      </c>
      <c r="AW60" s="164" t="e">
        <f>SUM(AW52,AW54,AW55,AW57)/AW59</f>
        <v>#DIV/0!</v>
      </c>
      <c r="AX60" s="272"/>
      <c r="AY60" s="29" t="s">
        <v>44</v>
      </c>
      <c r="AZ60" s="164" t="e">
        <f>SUM(AZ52,AZ54,AZ55,AZ57)/AZ59</f>
        <v>#DIV/0!</v>
      </c>
      <c r="BA60" s="272"/>
      <c r="BB60" s="29" t="s">
        <v>44</v>
      </c>
      <c r="BC60" s="164" t="e">
        <f>SUM(BC52,BC54,BC55,BC57)/BC59</f>
        <v>#DIV/0!</v>
      </c>
      <c r="BD60" s="272"/>
      <c r="BE60" s="29" t="s">
        <v>44</v>
      </c>
      <c r="BF60" s="164" t="e">
        <f>SUM(BF52,BF54,BF55,BF57)/BF59</f>
        <v>#DIV/0!</v>
      </c>
    </row>
    <row r="61" spans="2:58" ht="17.25" customHeight="1" x14ac:dyDescent="0.25"/>
    <row r="62" spans="2:58" ht="17.25" customHeight="1" x14ac:dyDescent="0.25">
      <c r="Y62" s="273" t="s">
        <v>74</v>
      </c>
      <c r="Z62" s="270" t="s">
        <v>6</v>
      </c>
      <c r="AA62" s="54" t="s">
        <v>27</v>
      </c>
      <c r="AB62" s="165">
        <f>COUNTIFS(JOURNAL!F:F,"7",JOURNAL!J:J,"TCDP",JOURNAL!O:O,"TP")</f>
        <v>0</v>
      </c>
      <c r="AC62" s="270" t="s">
        <v>7</v>
      </c>
      <c r="AD62" s="54" t="s">
        <v>27</v>
      </c>
      <c r="AE62" s="165">
        <f>COUNTIFS(JOURNAL!F:F,"7",JOURNAL!J:J,"OCDP",JOURNAL!O:O,"TP")</f>
        <v>0</v>
      </c>
      <c r="AF62" s="270" t="s">
        <v>9</v>
      </c>
      <c r="AG62" s="54" t="s">
        <v>27</v>
      </c>
      <c r="AH62" s="165">
        <f>COUNTIFS(JOURNAL!F:F,"7",JOURNAL!J:J,"TCDL",JOURNAL!O:O,"TP")</f>
        <v>0</v>
      </c>
      <c r="AI62" s="270" t="s">
        <v>10</v>
      </c>
      <c r="AJ62" s="54" t="s">
        <v>27</v>
      </c>
      <c r="AK62" s="165">
        <f>COUNTIFS(JOURNAL!F:F,"7",JOURNAL!J:J,"OCDL",JOURNAL!O:O,"TP")</f>
        <v>0</v>
      </c>
      <c r="AL62" s="270" t="s">
        <v>8</v>
      </c>
      <c r="AM62" s="54" t="s">
        <v>27</v>
      </c>
      <c r="AN62" s="165">
        <f>COUNTIFS(JOURNAL!F:F,"7",JOURNAL!J:J,"TCDW",JOURNAL!O:O,"TP")</f>
        <v>0</v>
      </c>
      <c r="AO62" s="270" t="s">
        <v>11</v>
      </c>
      <c r="AP62" s="54" t="s">
        <v>27</v>
      </c>
      <c r="AQ62" s="165">
        <f>COUNTIFS(JOURNAL!F:F,"7",JOURNAL!J:J,"OCDW",JOURNAL!O:O,"TP")</f>
        <v>0</v>
      </c>
      <c r="AR62" s="270" t="s">
        <v>12</v>
      </c>
      <c r="AS62" s="54" t="s">
        <v>27</v>
      </c>
      <c r="AT62" s="165">
        <f>COUNTIFS(JOURNAL!F:F,"7",JOURNAL!J:J,"TCDC",JOURNAL!O:O,"TP")</f>
        <v>0</v>
      </c>
      <c r="AU62" s="270" t="s">
        <v>13</v>
      </c>
      <c r="AV62" s="54" t="s">
        <v>27</v>
      </c>
      <c r="AW62" s="165">
        <f>COUNTIFS(JOURNAL!F:F,"7",JOURNAL!J:J,"OCDC",JOURNAL!O:O,"TP")</f>
        <v>0</v>
      </c>
      <c r="AX62" s="270" t="s">
        <v>14</v>
      </c>
      <c r="AY62" s="54" t="s">
        <v>27</v>
      </c>
      <c r="AZ62" s="165">
        <f>COUNTIFS(JOURNAL!F:F,"7",JOURNAL!J:J,"TCP",JOURNAL!O:O,"TP")</f>
        <v>0</v>
      </c>
      <c r="BA62" s="270" t="s">
        <v>15</v>
      </c>
      <c r="BB62" s="54" t="s">
        <v>27</v>
      </c>
      <c r="BC62" s="165">
        <f>COUNTIFS(JOURNAL!F:F,"7",JOURNAL!J:J,"OCP",JOURNAL!O:O,"TP")</f>
        <v>0</v>
      </c>
      <c r="BD62" s="270" t="s">
        <v>16</v>
      </c>
      <c r="BE62" s="54" t="s">
        <v>27</v>
      </c>
      <c r="BF62" s="165">
        <f>COUNTIFS(JOURNAL!F:F,"7",JOURNAL!J:J,"RE",JOURNAL!O:O,"TP")</f>
        <v>0</v>
      </c>
    </row>
    <row r="63" spans="2:58" ht="17.25" customHeight="1" x14ac:dyDescent="0.25">
      <c r="Y63" s="273"/>
      <c r="Z63" s="271"/>
      <c r="AA63" s="55" t="s">
        <v>29</v>
      </c>
      <c r="AB63" s="165">
        <f>COUNTIFS(JOURNAL!F:F,"7",JOURNAL!J:J,"TCDP",JOURNAL!O:O,"SL")</f>
        <v>0</v>
      </c>
      <c r="AC63" s="271"/>
      <c r="AD63" s="55" t="s">
        <v>29</v>
      </c>
      <c r="AE63" s="165">
        <f>COUNTIFS(JOURNAL!F:F,"7",JOURNAL!J:J,"OCDP",JOURNAL!O:O,"SL")</f>
        <v>0</v>
      </c>
      <c r="AF63" s="271"/>
      <c r="AG63" s="55" t="s">
        <v>29</v>
      </c>
      <c r="AH63" s="165">
        <f>COUNTIFS(JOURNAL!F:F,"7",JOURNAL!J:J,"TCDL",JOURNAL!O:O,"SL")</f>
        <v>0</v>
      </c>
      <c r="AI63" s="271"/>
      <c r="AJ63" s="55" t="s">
        <v>29</v>
      </c>
      <c r="AK63" s="165">
        <f>COUNTIFS(JOURNAL!F:F,"7",JOURNAL!J:J,"OCDL",JOURNAL!O:O,"SL")</f>
        <v>0</v>
      </c>
      <c r="AL63" s="271"/>
      <c r="AM63" s="55" t="s">
        <v>29</v>
      </c>
      <c r="AN63" s="165">
        <f>COUNTIFS(JOURNAL!F:F,"7",JOURNAL!J:J,"TCDW",JOURNAL!O:O,"SL")</f>
        <v>0</v>
      </c>
      <c r="AO63" s="271"/>
      <c r="AP63" s="55" t="s">
        <v>29</v>
      </c>
      <c r="AQ63" s="165">
        <f>COUNTIFS(JOURNAL!F:F,"7",JOURNAL!J:J,"OCDW",JOURNAL!O:O,"SL")</f>
        <v>0</v>
      </c>
      <c r="AR63" s="271"/>
      <c r="AS63" s="55" t="s">
        <v>29</v>
      </c>
      <c r="AT63" s="165">
        <f>COUNTIFS(JOURNAL!F:F,"7",JOURNAL!J:J,"TCDC",JOURNAL!O:O,"SL")</f>
        <v>0</v>
      </c>
      <c r="AU63" s="271"/>
      <c r="AV63" s="55" t="s">
        <v>29</v>
      </c>
      <c r="AW63" s="165">
        <f>COUNTIFS(JOURNAL!F:F,"7",JOURNAL!J:J,"OCDC",JOURNAL!O:O,"SL")</f>
        <v>0</v>
      </c>
      <c r="AX63" s="271"/>
      <c r="AY63" s="55" t="s">
        <v>29</v>
      </c>
      <c r="AZ63" s="165">
        <f>COUNTIFS(JOURNAL!F:F,"7",JOURNAL!J:J,"TCP",JOURNAL!O:O,"SL")</f>
        <v>0</v>
      </c>
      <c r="BA63" s="271"/>
      <c r="BB63" s="55" t="s">
        <v>29</v>
      </c>
      <c r="BC63" s="165">
        <f>COUNTIFS(JOURNAL!F:F,"7",JOURNAL!J:J,"OCP",JOURNAL!O:O,"SL")</f>
        <v>0</v>
      </c>
      <c r="BD63" s="271"/>
      <c r="BE63" s="55" t="s">
        <v>29</v>
      </c>
      <c r="BF63" s="165">
        <f>COUNTIFS(JOURNAL!F:F,"7",JOURNAL!J:J,"RE",JOURNAL!O:O,"SL")</f>
        <v>0</v>
      </c>
    </row>
    <row r="64" spans="2:58" ht="14.25" customHeight="1" x14ac:dyDescent="0.25">
      <c r="Y64" s="273"/>
      <c r="Z64" s="271"/>
      <c r="AA64" s="56" t="s">
        <v>32</v>
      </c>
      <c r="AB64" s="165">
        <f>COUNTIFS(JOURNAL!F:F,"7",JOURNAL!J:J,"TCDP",JOURNAL!O:O,"RF")</f>
        <v>0</v>
      </c>
      <c r="AC64" s="271"/>
      <c r="AD64" s="56" t="s">
        <v>32</v>
      </c>
      <c r="AE64" s="165">
        <f>COUNTIFS(JOURNAL!F:F,"7",JOURNAL!J:J,"OCDP",JOURNAL!O:O,"RF")</f>
        <v>0</v>
      </c>
      <c r="AF64" s="271"/>
      <c r="AG64" s="56" t="s">
        <v>32</v>
      </c>
      <c r="AH64" s="165">
        <f>COUNTIFS(JOURNAL!F:F,"7",JOURNAL!J:J,"TCDL",JOURNAL!O:O,"RF")</f>
        <v>0</v>
      </c>
      <c r="AI64" s="271"/>
      <c r="AJ64" s="56" t="s">
        <v>32</v>
      </c>
      <c r="AK64" s="165">
        <f>COUNTIFS(JOURNAL!F:F,"7",JOURNAL!J:J,"OCDL",JOURNAL!O:O,"RF")</f>
        <v>0</v>
      </c>
      <c r="AL64" s="271"/>
      <c r="AM64" s="56" t="s">
        <v>32</v>
      </c>
      <c r="AN64" s="165">
        <f>COUNTIFS(JOURNAL!F:F,"7",JOURNAL!J:J,"TCDW",JOURNAL!O:O,"RF")</f>
        <v>0</v>
      </c>
      <c r="AO64" s="271"/>
      <c r="AP64" s="56" t="s">
        <v>32</v>
      </c>
      <c r="AQ64" s="165">
        <f>COUNTIFS(JOURNAL!F:F,"7",JOURNAL!J:J,"OCDW",JOURNAL!O:O,"RF")</f>
        <v>0</v>
      </c>
      <c r="AR64" s="271"/>
      <c r="AS64" s="56" t="s">
        <v>32</v>
      </c>
      <c r="AT64" s="165">
        <f>COUNTIFS(JOURNAL!F:F,"7",JOURNAL!J:J,"TCDC",JOURNAL!O:O,"RF")</f>
        <v>0</v>
      </c>
      <c r="AU64" s="271"/>
      <c r="AV64" s="56" t="s">
        <v>32</v>
      </c>
      <c r="AW64" s="165">
        <f>COUNTIFS(JOURNAL!F:F,"7",JOURNAL!J:J,"OCDC",JOURNAL!O:O,"RF")</f>
        <v>0</v>
      </c>
      <c r="AX64" s="271"/>
      <c r="AY64" s="56" t="s">
        <v>32</v>
      </c>
      <c r="AZ64" s="165">
        <f>COUNTIFS(JOURNAL!F:F,"7",JOURNAL!J:J,"TCP",JOURNAL!O:O,"RF")</f>
        <v>0</v>
      </c>
      <c r="BA64" s="271"/>
      <c r="BB64" s="56" t="s">
        <v>32</v>
      </c>
      <c r="BC64" s="165">
        <f>COUNTIFS(JOURNAL!F:F,"7",JOURNAL!J:J,"OCP",JOURNAL!O:O,"RF")</f>
        <v>0</v>
      </c>
      <c r="BD64" s="271"/>
      <c r="BE64" s="56" t="s">
        <v>32</v>
      </c>
      <c r="BF64" s="165">
        <f>COUNTIFS(JOURNAL!F:F,"7",JOURNAL!J:J,"RE",JOURNAL!O:O,"RF")</f>
        <v>0</v>
      </c>
    </row>
    <row r="65" spans="2:58" ht="15.75" customHeight="1" x14ac:dyDescent="0.25">
      <c r="Y65" s="273"/>
      <c r="Z65" s="271"/>
      <c r="AA65" s="57" t="s">
        <v>30</v>
      </c>
      <c r="AB65" s="165">
        <f>COUNTIFS(JOURNAL!F:F,"7",JOURNAL!J:J,"TCDP",JOURNAL!O:O,"PS")</f>
        <v>0</v>
      </c>
      <c r="AC65" s="271"/>
      <c r="AD65" s="57" t="s">
        <v>30</v>
      </c>
      <c r="AE65" s="165">
        <f>COUNTIFS(JOURNAL!F:F,"7",JOURNAL!J:J,"OCDP",JOURNAL!O:O,"PS")</f>
        <v>0</v>
      </c>
      <c r="AF65" s="271"/>
      <c r="AG65" s="57" t="s">
        <v>30</v>
      </c>
      <c r="AH65" s="165">
        <f>COUNTIFS(JOURNAL!F:F,"7",JOURNAL!J:J,"TCDL",JOURNAL!O:O,"PS")</f>
        <v>0</v>
      </c>
      <c r="AI65" s="271"/>
      <c r="AJ65" s="57" t="s">
        <v>30</v>
      </c>
      <c r="AK65" s="165">
        <f>COUNTIFS(JOURNAL!F:F,"7",JOURNAL!J:J,"OCDL",JOURNAL!O:O,"PS")</f>
        <v>0</v>
      </c>
      <c r="AL65" s="271"/>
      <c r="AM65" s="57" t="s">
        <v>30</v>
      </c>
      <c r="AN65" s="165">
        <f>COUNTIFS(JOURNAL!F:F,"7",JOURNAL!J:J,"TCDW",JOURNAL!O:O,"PS")</f>
        <v>0</v>
      </c>
      <c r="AO65" s="271"/>
      <c r="AP65" s="57" t="s">
        <v>30</v>
      </c>
      <c r="AQ65" s="165">
        <f>COUNTIFS(JOURNAL!F:F,"7",JOURNAL!J:J,"OCDW",JOURNAL!O:O,"PS")</f>
        <v>0</v>
      </c>
      <c r="AR65" s="271"/>
      <c r="AS65" s="57" t="s">
        <v>30</v>
      </c>
      <c r="AT65" s="165">
        <f>COUNTIFS(JOURNAL!F:F,"7",JOURNAL!J:J,"TCDC",JOURNAL!O:O,"PS")</f>
        <v>0</v>
      </c>
      <c r="AU65" s="271"/>
      <c r="AV65" s="57" t="s">
        <v>30</v>
      </c>
      <c r="AW65" s="165">
        <f>COUNTIFS(JOURNAL!F:F,"7",JOURNAL!J:J,"OCDC",JOURNAL!O:O,"PS")</f>
        <v>0</v>
      </c>
      <c r="AX65" s="271"/>
      <c r="AY65" s="57" t="s">
        <v>30</v>
      </c>
      <c r="AZ65" s="165">
        <f>COUNTIFS(JOURNAL!F:F,"7",JOURNAL!J:J,"TCP",JOURNAL!O:O,"PS")</f>
        <v>0</v>
      </c>
      <c r="BA65" s="271"/>
      <c r="BB65" s="57" t="s">
        <v>30</v>
      </c>
      <c r="BC65" s="165">
        <f>COUNTIFS(JOURNAL!F:F,"7",JOURNAL!J:J,"OCP",JOURNAL!O:O,"PS")</f>
        <v>0</v>
      </c>
      <c r="BD65" s="271"/>
      <c r="BE65" s="57" t="s">
        <v>30</v>
      </c>
      <c r="BF65" s="165">
        <f>COUNTIFS(JOURNAL!F:F,"7",JOURNAL!J:J,"RE",JOURNAL!O:O,"PS")</f>
        <v>0</v>
      </c>
    </row>
    <row r="66" spans="2:58" ht="15.75" x14ac:dyDescent="0.25">
      <c r="Y66" s="273"/>
      <c r="Z66" s="271"/>
      <c r="AA66" s="58" t="s">
        <v>31</v>
      </c>
      <c r="AB66" s="165">
        <f>COUNTIFS(JOURNAL!F:F,"7",JOURNAL!J:J,"TCDP",JOURNAL!O:O,"LS")</f>
        <v>0</v>
      </c>
      <c r="AC66" s="271"/>
      <c r="AD66" s="58" t="s">
        <v>31</v>
      </c>
      <c r="AE66" s="165">
        <f>COUNTIFS(JOURNAL!F:F,"7",JOURNAL!J:J,"OCDP",JOURNAL!O:O,"LS")</f>
        <v>0</v>
      </c>
      <c r="AF66" s="271"/>
      <c r="AG66" s="58" t="s">
        <v>31</v>
      </c>
      <c r="AH66" s="165">
        <f>COUNTIFS(JOURNAL!F:F,"7",JOURNAL!J:J,"TCDL",JOURNAL!O:O,"LS")</f>
        <v>0</v>
      </c>
      <c r="AI66" s="271"/>
      <c r="AJ66" s="58" t="s">
        <v>31</v>
      </c>
      <c r="AK66" s="165">
        <f>COUNTIFS(JOURNAL!F:F,"7",JOURNAL!J:J,"OCDL",JOURNAL!O:O,"LS")</f>
        <v>0</v>
      </c>
      <c r="AL66" s="271"/>
      <c r="AM66" s="58" t="s">
        <v>31</v>
      </c>
      <c r="AN66" s="165">
        <f>COUNTIFS(JOURNAL!F:F,"7",JOURNAL!J:J,"TCDW",JOURNAL!O:O,"LS")</f>
        <v>0</v>
      </c>
      <c r="AO66" s="271"/>
      <c r="AP66" s="58" t="s">
        <v>31</v>
      </c>
      <c r="AQ66" s="165">
        <f>COUNTIFS(JOURNAL!F:F,"7",JOURNAL!J:J,"OCDW",JOURNAL!O:O,"LS")</f>
        <v>0</v>
      </c>
      <c r="AR66" s="271"/>
      <c r="AS66" s="58" t="s">
        <v>31</v>
      </c>
      <c r="AT66" s="165">
        <f>COUNTIFS(JOURNAL!F:F,"7",JOURNAL!J:J,"TCDC",JOURNAL!O:O,"LS")</f>
        <v>0</v>
      </c>
      <c r="AU66" s="271"/>
      <c r="AV66" s="58" t="s">
        <v>31</v>
      </c>
      <c r="AW66" s="165">
        <f>COUNTIFS(JOURNAL!F:F,"7",JOURNAL!J:J,"OCDC",JOURNAL!O:O,"LS")</f>
        <v>0</v>
      </c>
      <c r="AX66" s="271"/>
      <c r="AY66" s="58" t="s">
        <v>31</v>
      </c>
      <c r="AZ66" s="165">
        <f>COUNTIFS(JOURNAL!F:F,"7",JOURNAL!J:J,"TCP",JOURNAL!O:O,"LS")</f>
        <v>0</v>
      </c>
      <c r="BA66" s="271"/>
      <c r="BB66" s="58" t="s">
        <v>31</v>
      </c>
      <c r="BC66" s="165">
        <f>COUNTIFS(JOURNAL!F:F,"7",JOURNAL!J:J,"OCP",JOURNAL!O:O,"LS")</f>
        <v>0</v>
      </c>
      <c r="BD66" s="271"/>
      <c r="BE66" s="58" t="s">
        <v>31</v>
      </c>
      <c r="BF66" s="165">
        <f>COUNTIFS(JOURNAL!F:F,"7",JOURNAL!J:J,"RE",JOURNAL!O:O,"LS")</f>
        <v>0</v>
      </c>
    </row>
    <row r="67" spans="2:58" ht="20.25" customHeight="1" x14ac:dyDescent="0.25">
      <c r="Y67" s="273"/>
      <c r="Z67" s="271"/>
      <c r="AA67" s="59" t="s">
        <v>33</v>
      </c>
      <c r="AB67" s="165">
        <f>COUNTIFS(JOURNAL!F:F,"7",JOURNAL!J:J,"TCDP",JOURNAL!O:O,"OT +")</f>
        <v>0</v>
      </c>
      <c r="AC67" s="271"/>
      <c r="AD67" s="59" t="s">
        <v>33</v>
      </c>
      <c r="AE67" s="165">
        <f>COUNTIFS(JOURNAL!F:F,"7",JOURNAL!J:J,"OCDP",JOURNAL!O:O,"OT +")</f>
        <v>0</v>
      </c>
      <c r="AF67" s="271"/>
      <c r="AG67" s="59" t="s">
        <v>33</v>
      </c>
      <c r="AH67" s="165">
        <f>COUNTIFS(JOURNAL!F:F,"7",JOURNAL!J:J,"TCDL",JOURNAL!O:O,"OT +")</f>
        <v>0</v>
      </c>
      <c r="AI67" s="271"/>
      <c r="AJ67" s="59" t="s">
        <v>33</v>
      </c>
      <c r="AK67" s="165">
        <f>COUNTIFS(JOURNAL!F:F,"7",JOURNAL!J:J,"OCDL",JOURNAL!O:O,"OT  +")</f>
        <v>0</v>
      </c>
      <c r="AL67" s="271"/>
      <c r="AM67" s="59" t="s">
        <v>33</v>
      </c>
      <c r="AN67" s="165">
        <f>COUNTIFS(JOURNAL!F:F,"7",JOURNAL!J:J,"TCDW",JOURNAL!O:O,"OT +")</f>
        <v>0</v>
      </c>
      <c r="AO67" s="271"/>
      <c r="AP67" s="59" t="s">
        <v>33</v>
      </c>
      <c r="AQ67" s="165">
        <f>COUNTIFS(JOURNAL!F:F,"7",JOURNAL!J:J,"OCDW",JOURNAL!O:O,"OT +")</f>
        <v>0</v>
      </c>
      <c r="AR67" s="271"/>
      <c r="AS67" s="59" t="s">
        <v>33</v>
      </c>
      <c r="AT67" s="165">
        <f>COUNTIFS(JOURNAL!F:F,"7",JOURNAL!J:J,"TCDC",JOURNAL!O:O,"OT +")</f>
        <v>0</v>
      </c>
      <c r="AU67" s="271"/>
      <c r="AV67" s="59" t="s">
        <v>33</v>
      </c>
      <c r="AW67" s="165">
        <f>COUNTIFS(JOURNAL!F:F,"7",JOURNAL!J:J,"OCDC",JOURNAL!O:O,"OT +")</f>
        <v>0</v>
      </c>
      <c r="AX67" s="271"/>
      <c r="AY67" s="59" t="s">
        <v>33</v>
      </c>
      <c r="AZ67" s="165">
        <f>COUNTIFS(JOURNAL!F:F,"7",JOURNAL!J:J,"TCP",JOURNAL!O:O,"OT +")</f>
        <v>0</v>
      </c>
      <c r="BA67" s="271"/>
      <c r="BB67" s="59" t="s">
        <v>33</v>
      </c>
      <c r="BC67" s="165">
        <f>COUNTIFS(JOURNAL!F:F,"7",JOURNAL!J:J,"OCP",JOURNAL!O:O,"OT +")</f>
        <v>0</v>
      </c>
      <c r="BD67" s="271"/>
      <c r="BE67" s="59" t="s">
        <v>33</v>
      </c>
      <c r="BF67" s="165">
        <f>COUNTIFS(JOURNAL!F:F,"7",JOURNAL!J:J,"RE",JOURNAL!O:O,"OT +")</f>
        <v>0</v>
      </c>
    </row>
    <row r="68" spans="2:58" ht="25.5" customHeight="1" x14ac:dyDescent="0.25">
      <c r="B68" s="267" t="s">
        <v>14</v>
      </c>
      <c r="C68" s="268"/>
      <c r="D68" s="268"/>
      <c r="E68" s="268"/>
      <c r="F68" s="269"/>
      <c r="H68" s="267" t="s">
        <v>16</v>
      </c>
      <c r="I68" s="268"/>
      <c r="J68" s="268"/>
      <c r="K68" s="268"/>
      <c r="L68" s="268"/>
      <c r="Y68" s="273"/>
      <c r="Z68" s="271"/>
      <c r="AA68" s="60" t="s">
        <v>34</v>
      </c>
      <c r="AB68" s="165">
        <f>COUNTIFS(JOURNAL!F:F,"7",JOURNAL!J:J,"TCDP",JOURNAL!O:O,"OT -")</f>
        <v>0</v>
      </c>
      <c r="AC68" s="271"/>
      <c r="AD68" s="60" t="s">
        <v>34</v>
      </c>
      <c r="AE68" s="165">
        <f>COUNTIFS(JOURNAL!F:F,"7",JOURNAL!J:J,"OCDP",JOURNAL!O:O,"OT -")</f>
        <v>0</v>
      </c>
      <c r="AF68" s="271"/>
      <c r="AG68" s="60" t="s">
        <v>34</v>
      </c>
      <c r="AH68" s="165">
        <f>COUNTIFS(JOURNAL!F:F,"7",JOURNAL!J:J,"TCDL",JOURNAL!O:O,"OT -")</f>
        <v>0</v>
      </c>
      <c r="AI68" s="271"/>
      <c r="AJ68" s="60" t="s">
        <v>34</v>
      </c>
      <c r="AK68" s="165">
        <f>COUNTIFS(JOURNAL!F:F,"7",JOURNAL!J:J,"OCDL",JOURNAL!O:O,"OT -")</f>
        <v>0</v>
      </c>
      <c r="AL68" s="271"/>
      <c r="AM68" s="60" t="s">
        <v>34</v>
      </c>
      <c r="AN68" s="165">
        <f>COUNTIFS(JOURNAL!F:F,"7",JOURNAL!J:J,"TCDW",JOURNAL!O:O,"OT -")</f>
        <v>0</v>
      </c>
      <c r="AO68" s="271"/>
      <c r="AP68" s="60" t="s">
        <v>34</v>
      </c>
      <c r="AQ68" s="165">
        <f>COUNTIFS(JOURNAL!F:F,"7",JOURNAL!J:J,"OCDW",JOURNAL!O:O,"OT -")</f>
        <v>0</v>
      </c>
      <c r="AR68" s="271"/>
      <c r="AS68" s="60" t="s">
        <v>34</v>
      </c>
      <c r="AT68" s="165">
        <f>COUNTIFS(JOURNAL!F:F,"7",JOURNAL!J:J,"TCDC",JOURNAL!O:O,"OT -")</f>
        <v>0</v>
      </c>
      <c r="AU68" s="271"/>
      <c r="AV68" s="60" t="s">
        <v>34</v>
      </c>
      <c r="AW68" s="165">
        <f>COUNTIFS(JOURNAL!F:F,"7",JOURNAL!J:J,"OCDC",JOURNAL!O:O,"OT -")</f>
        <v>0</v>
      </c>
      <c r="AX68" s="271"/>
      <c r="AY68" s="60" t="s">
        <v>34</v>
      </c>
      <c r="AZ68" s="165">
        <f>COUNTIFS(JOURNAL!F:F,"7",JOURNAL!J:J,"TCP",JOURNAL!O:O,"OT -")</f>
        <v>0</v>
      </c>
      <c r="BA68" s="271"/>
      <c r="BB68" s="60" t="s">
        <v>34</v>
      </c>
      <c r="BC68" s="165">
        <f>COUNTIFS(JOURNAL!F:F,"7",JOURNAL!J:J,"OCP",JOURNAL!O:O,"OT -")</f>
        <v>0</v>
      </c>
      <c r="BD68" s="271"/>
      <c r="BE68" s="60" t="s">
        <v>34</v>
      </c>
      <c r="BF68" s="165">
        <f>COUNTIFS(JOURNAL!F:F,"7",JOURNAL!J:J,"RE",JOURNAL!O:O,"OT -")</f>
        <v>0</v>
      </c>
    </row>
    <row r="69" spans="2:58" ht="18" customHeight="1" x14ac:dyDescent="0.25">
      <c r="B69" s="260" t="s">
        <v>43</v>
      </c>
      <c r="C69" s="262">
        <f>COUNTIF(JOURNAL!J:J,"TCP")</f>
        <v>0</v>
      </c>
      <c r="D69" s="263"/>
      <c r="E69" s="54" t="s">
        <v>27</v>
      </c>
      <c r="F69" s="48">
        <f>COUNTIFS(JOURNAL!J:J,"TCP",JOURNAL!O:O,"TP")</f>
        <v>0</v>
      </c>
      <c r="H69" s="260" t="s">
        <v>43</v>
      </c>
      <c r="I69" s="262">
        <f>COUNTIF(JOURNAL!J:J,"RE")</f>
        <v>0</v>
      </c>
      <c r="J69" s="263"/>
      <c r="K69" s="54" t="s">
        <v>27</v>
      </c>
      <c r="L69" s="48">
        <f>COUNTIFS(JOURNAL!J:J,"RE",JOURNAL!O:O,"TP")</f>
        <v>0</v>
      </c>
      <c r="Y69" s="273"/>
      <c r="Z69" s="271"/>
      <c r="AA69" s="25" t="s">
        <v>115</v>
      </c>
      <c r="AB69" s="166">
        <f>SUM(AB62:AB68)</f>
        <v>0</v>
      </c>
      <c r="AC69" s="271"/>
      <c r="AD69" s="25" t="s">
        <v>115</v>
      </c>
      <c r="AE69" s="166">
        <f>SUM(AE62:AE68)</f>
        <v>0</v>
      </c>
      <c r="AF69" s="271"/>
      <c r="AG69" s="25" t="s">
        <v>115</v>
      </c>
      <c r="AH69" s="166">
        <f>SUM(AH62:AH68)</f>
        <v>0</v>
      </c>
      <c r="AI69" s="271"/>
      <c r="AJ69" s="25" t="s">
        <v>115</v>
      </c>
      <c r="AK69" s="166">
        <f>SUM(AK62:AK68)</f>
        <v>0</v>
      </c>
      <c r="AL69" s="271"/>
      <c r="AM69" s="25" t="s">
        <v>115</v>
      </c>
      <c r="AN69" s="166">
        <f>SUM(AN62:AN68)</f>
        <v>0</v>
      </c>
      <c r="AO69" s="271"/>
      <c r="AP69" s="25" t="s">
        <v>115</v>
      </c>
      <c r="AQ69" s="166">
        <f>SUM(AQ62:AQ68)</f>
        <v>0</v>
      </c>
      <c r="AR69" s="271"/>
      <c r="AS69" s="25" t="s">
        <v>115</v>
      </c>
      <c r="AT69" s="166">
        <f>SUM(AT62:AT68)</f>
        <v>0</v>
      </c>
      <c r="AU69" s="271"/>
      <c r="AV69" s="25" t="s">
        <v>115</v>
      </c>
      <c r="AW69" s="166">
        <f>SUM(AW62:AW68)</f>
        <v>0</v>
      </c>
      <c r="AX69" s="271"/>
      <c r="AY69" s="25" t="s">
        <v>115</v>
      </c>
      <c r="AZ69" s="166">
        <f>SUM(AZ62:AZ68)</f>
        <v>0</v>
      </c>
      <c r="BA69" s="271"/>
      <c r="BB69" s="25" t="s">
        <v>115</v>
      </c>
      <c r="BC69" s="166">
        <f>SUM(BC62:BC68)</f>
        <v>0</v>
      </c>
      <c r="BD69" s="271"/>
      <c r="BE69" s="25" t="s">
        <v>115</v>
      </c>
      <c r="BF69" s="166">
        <f>SUM(BF62:BF68)</f>
        <v>0</v>
      </c>
    </row>
    <row r="70" spans="2:58" ht="15" customHeight="1" x14ac:dyDescent="0.25">
      <c r="B70" s="261"/>
      <c r="C70" s="264"/>
      <c r="D70" s="265"/>
      <c r="E70" s="55" t="s">
        <v>29</v>
      </c>
      <c r="F70" s="48">
        <f>COUNTIFS(JOURNAL!J:J,"TCP",JOURNAL!O:O,"SL")</f>
        <v>0</v>
      </c>
      <c r="H70" s="261"/>
      <c r="I70" s="264"/>
      <c r="J70" s="265"/>
      <c r="K70" s="55" t="s">
        <v>29</v>
      </c>
      <c r="L70" s="48">
        <f>COUNTIFS(JOURNAL!J:J,"RE",JOURNAL!O:O,"SL")</f>
        <v>0</v>
      </c>
      <c r="Y70" s="273"/>
      <c r="Z70" s="272"/>
      <c r="AA70" s="29" t="s">
        <v>44</v>
      </c>
      <c r="AB70" s="164" t="e">
        <f>SUM(AB62,AB64,AB65,AB67)/AB69</f>
        <v>#DIV/0!</v>
      </c>
      <c r="AC70" s="272"/>
      <c r="AD70" s="29" t="s">
        <v>44</v>
      </c>
      <c r="AE70" s="164" t="e">
        <f>SUM(AE62,AE64,AE65,AE67)/AE69</f>
        <v>#DIV/0!</v>
      </c>
      <c r="AF70" s="272"/>
      <c r="AG70" s="29" t="s">
        <v>44</v>
      </c>
      <c r="AH70" s="164" t="e">
        <f>SUM(AH62,AH64,AH65,AH67)/AH69</f>
        <v>#DIV/0!</v>
      </c>
      <c r="AI70" s="272"/>
      <c r="AJ70" s="29" t="s">
        <v>44</v>
      </c>
      <c r="AK70" s="164" t="e">
        <f>SUM(AK62,AK64,AK65,AK67)/AK69</f>
        <v>#DIV/0!</v>
      </c>
      <c r="AL70" s="272"/>
      <c r="AM70" s="29" t="s">
        <v>44</v>
      </c>
      <c r="AN70" s="164" t="e">
        <f>SUM(AN62,AN64,AN65,AN67)/AN69</f>
        <v>#DIV/0!</v>
      </c>
      <c r="AO70" s="272"/>
      <c r="AP70" s="29" t="s">
        <v>44</v>
      </c>
      <c r="AQ70" s="164" t="e">
        <f>SUM(AQ62,AQ64,AQ65,AQ67)/AQ69</f>
        <v>#DIV/0!</v>
      </c>
      <c r="AR70" s="272"/>
      <c r="AS70" s="29" t="s">
        <v>44</v>
      </c>
      <c r="AT70" s="164" t="e">
        <f>SUM(AT62,AT64,AT65,AT67)/AT69</f>
        <v>#DIV/0!</v>
      </c>
      <c r="AU70" s="272"/>
      <c r="AV70" s="29" t="s">
        <v>44</v>
      </c>
      <c r="AW70" s="164" t="e">
        <f>SUM(AW62,AW64,AW65,AW67)/AW69</f>
        <v>#DIV/0!</v>
      </c>
      <c r="AX70" s="272"/>
      <c r="AY70" s="29" t="s">
        <v>44</v>
      </c>
      <c r="AZ70" s="164" t="e">
        <f>SUM(AZ62,AZ64,AZ65,AZ67)/AZ69</f>
        <v>#DIV/0!</v>
      </c>
      <c r="BA70" s="272"/>
      <c r="BB70" s="29" t="s">
        <v>44</v>
      </c>
      <c r="BC70" s="164" t="e">
        <f>SUM(BC62,BC64,BC65,BC67)/BC69</f>
        <v>#DIV/0!</v>
      </c>
      <c r="BD70" s="272"/>
      <c r="BE70" s="29" t="s">
        <v>44</v>
      </c>
      <c r="BF70" s="164" t="e">
        <f>SUM(BF62,BF64,BF65,BF67)/BF69</f>
        <v>#DIV/0!</v>
      </c>
    </row>
    <row r="71" spans="2:58" ht="17.25" customHeight="1" x14ac:dyDescent="0.25">
      <c r="B71" s="260" t="s">
        <v>45</v>
      </c>
      <c r="C71" s="111" t="s">
        <v>36</v>
      </c>
      <c r="D71" s="48">
        <f>COUNTIFS(JOURNAL!J:J,"TCP",JOURNAL!P:P,"SF")</f>
        <v>0</v>
      </c>
      <c r="E71" s="56" t="s">
        <v>32</v>
      </c>
      <c r="F71" s="48">
        <f>COUNTIFS(JOURNAL!J:J,"TCP",JOURNAL!O:O,"RF")</f>
        <v>0</v>
      </c>
      <c r="H71" s="260" t="s">
        <v>45</v>
      </c>
      <c r="I71" s="111" t="s">
        <v>36</v>
      </c>
      <c r="J71" s="48">
        <f>COUNTIFS(JOURNAL!J:J,"RE",JOURNAL!P:P,"SF")</f>
        <v>0</v>
      </c>
      <c r="K71" s="56" t="s">
        <v>32</v>
      </c>
      <c r="L71" s="48">
        <f>COUNTIFS(JOURNAL!J:J,"RE",JOURNAL!O:O,"RF")</f>
        <v>0</v>
      </c>
    </row>
    <row r="72" spans="2:58" ht="15.75" customHeight="1" x14ac:dyDescent="0.25">
      <c r="B72" s="266"/>
      <c r="C72" s="112" t="s">
        <v>28</v>
      </c>
      <c r="D72" s="48">
        <f>COUNTIFS(JOURNAL!J:J,"TCP",JOURNAL!P:P,"TC")</f>
        <v>0</v>
      </c>
      <c r="E72" s="57" t="s">
        <v>30</v>
      </c>
      <c r="F72" s="48">
        <f>COUNTIFS(JOURNAL!J:J,"TCP",JOURNAL!O:O,"PS")</f>
        <v>0</v>
      </c>
      <c r="H72" s="266"/>
      <c r="I72" s="112" t="s">
        <v>28</v>
      </c>
      <c r="J72" s="48">
        <f>COUNTIFS(JOURNAL!J:J,"RE",JOURNAL!P:P,"TC")</f>
        <v>0</v>
      </c>
      <c r="K72" s="57" t="s">
        <v>30</v>
      </c>
      <c r="L72" s="48">
        <f>COUNTIFS(JOURNAL!J:J,"RE",JOURNAL!O:O,"PS")</f>
        <v>0</v>
      </c>
      <c r="Y72" s="273" t="s">
        <v>75</v>
      </c>
      <c r="Z72" s="270" t="s">
        <v>6</v>
      </c>
      <c r="AA72" s="54" t="s">
        <v>27</v>
      </c>
      <c r="AB72" s="165">
        <f>COUNTIFS(JOURNAL!F:F,"8",JOURNAL!J:J,"TCDP",JOURNAL!O:O,"TP")</f>
        <v>0</v>
      </c>
      <c r="AC72" s="270" t="s">
        <v>7</v>
      </c>
      <c r="AD72" s="54" t="s">
        <v>27</v>
      </c>
      <c r="AE72" s="165">
        <f>COUNTIFS(JOURNAL!F:F,"8",JOURNAL!J:J,"OCDP",JOURNAL!O:O,"TP")</f>
        <v>0</v>
      </c>
      <c r="AF72" s="270" t="s">
        <v>9</v>
      </c>
      <c r="AG72" s="54" t="s">
        <v>27</v>
      </c>
      <c r="AH72" s="165">
        <f>COUNTIFS(JOURNAL!F:F,"8",JOURNAL!J:J,"TCDL",JOURNAL!O:O,"TP")</f>
        <v>0</v>
      </c>
      <c r="AI72" s="270" t="s">
        <v>10</v>
      </c>
      <c r="AJ72" s="54" t="s">
        <v>27</v>
      </c>
      <c r="AK72" s="165">
        <f>COUNTIFS(JOURNAL!F:F,"8",JOURNAL!J:J,"OCDL",JOURNAL!O:O,"TP")</f>
        <v>0</v>
      </c>
      <c r="AL72" s="270" t="s">
        <v>8</v>
      </c>
      <c r="AM72" s="54" t="s">
        <v>27</v>
      </c>
      <c r="AN72" s="165">
        <f>COUNTIFS(JOURNAL!F:F,"8",JOURNAL!J:J,"TCDW",JOURNAL!O:O,"TP")</f>
        <v>0</v>
      </c>
      <c r="AO72" s="270" t="s">
        <v>11</v>
      </c>
      <c r="AP72" s="54" t="s">
        <v>27</v>
      </c>
      <c r="AQ72" s="165">
        <f>COUNTIFS(JOURNAL!F:F,"8",JOURNAL!J:J,"OCDW",JOURNAL!O:O,"TP")</f>
        <v>0</v>
      </c>
      <c r="AR72" s="270" t="s">
        <v>12</v>
      </c>
      <c r="AS72" s="54" t="s">
        <v>27</v>
      </c>
      <c r="AT72" s="165">
        <f>COUNTIFS(JOURNAL!F:F,"8",JOURNAL!J:J,"TCDC",JOURNAL!O:O,"TP")</f>
        <v>0</v>
      </c>
      <c r="AU72" s="270" t="s">
        <v>13</v>
      </c>
      <c r="AV72" s="54" t="s">
        <v>27</v>
      </c>
      <c r="AW72" s="165">
        <f>COUNTIFS(JOURNAL!F:F,"8",JOURNAL!J:J,"OCDC",JOURNAL!O:O,"TP")</f>
        <v>0</v>
      </c>
      <c r="AX72" s="270" t="s">
        <v>14</v>
      </c>
      <c r="AY72" s="54" t="s">
        <v>27</v>
      </c>
      <c r="AZ72" s="165">
        <f>COUNTIFS(JOURNAL!F:F,"8",JOURNAL!J:J,"TCP",JOURNAL!O:O,"TP")</f>
        <v>0</v>
      </c>
      <c r="BA72" s="270" t="s">
        <v>15</v>
      </c>
      <c r="BB72" s="54" t="s">
        <v>27</v>
      </c>
      <c r="BC72" s="165">
        <f>COUNTIFS(JOURNAL!F:F,"8",JOURNAL!J:J,"OCP",JOURNAL!O:O,"TP")</f>
        <v>0</v>
      </c>
      <c r="BD72" s="270" t="s">
        <v>16</v>
      </c>
      <c r="BE72" s="54" t="s">
        <v>27</v>
      </c>
      <c r="BF72" s="165">
        <f>COUNTIFS(JOURNAL!F:F,"8",JOURNAL!J:J,"RE",JOURNAL!O:O,"TP")</f>
        <v>0</v>
      </c>
    </row>
    <row r="73" spans="2:58" ht="15.75" customHeight="1" x14ac:dyDescent="0.25">
      <c r="B73" s="266"/>
      <c r="C73" s="114" t="s">
        <v>37</v>
      </c>
      <c r="D73" s="48">
        <f>COUNTIFS(JOURNAL!J:J,"TCP",JOURNAL!P:P,"DC")</f>
        <v>0</v>
      </c>
      <c r="E73" s="58" t="s">
        <v>31</v>
      </c>
      <c r="F73" s="48">
        <f>COUNTIFS(JOURNAL!J:J,"TCP",JOURNAL!O:O,"LS")</f>
        <v>0</v>
      </c>
      <c r="H73" s="266"/>
      <c r="I73" s="114" t="s">
        <v>37</v>
      </c>
      <c r="J73" s="48">
        <f>COUNTIFS(JOURNAL!J:J,"RE",JOURNAL!P:P,"DC")</f>
        <v>0</v>
      </c>
      <c r="K73" s="58" t="s">
        <v>31</v>
      </c>
      <c r="L73" s="48">
        <f>COUNTIFS(JOURNAL!J:J,"RE",JOURNAL!O:O,"LS")</f>
        <v>0</v>
      </c>
      <c r="Y73" s="273"/>
      <c r="Z73" s="271"/>
      <c r="AA73" s="55" t="s">
        <v>29</v>
      </c>
      <c r="AB73" s="165">
        <f>COUNTIFS(JOURNAL!F:F,"8",JOURNAL!J:J,"TCDP",JOURNAL!O:O,"SL")</f>
        <v>0</v>
      </c>
      <c r="AC73" s="271"/>
      <c r="AD73" s="55" t="s">
        <v>29</v>
      </c>
      <c r="AE73" s="165">
        <f>COUNTIFS(JOURNAL!F:F,"8",JOURNAL!J:J,"OCDP",JOURNAL!O:O,"SL")</f>
        <v>0</v>
      </c>
      <c r="AF73" s="271"/>
      <c r="AG73" s="55" t="s">
        <v>29</v>
      </c>
      <c r="AH73" s="165">
        <f>COUNTIFS(JOURNAL!F:F,"8",JOURNAL!J:J,"TCDL",JOURNAL!O:O,"SL")</f>
        <v>0</v>
      </c>
      <c r="AI73" s="271"/>
      <c r="AJ73" s="55" t="s">
        <v>29</v>
      </c>
      <c r="AK73" s="165">
        <f>COUNTIFS(JOURNAL!F:F,"8",JOURNAL!J:J,"OCDL",JOURNAL!O:O,"SL")</f>
        <v>0</v>
      </c>
      <c r="AL73" s="271"/>
      <c r="AM73" s="55" t="s">
        <v>29</v>
      </c>
      <c r="AN73" s="165">
        <f>COUNTIFS(JOURNAL!F:F,"8",JOURNAL!J:J,"TCDW",JOURNAL!O:O,"SL")</f>
        <v>0</v>
      </c>
      <c r="AO73" s="271"/>
      <c r="AP73" s="55" t="s">
        <v>29</v>
      </c>
      <c r="AQ73" s="165">
        <f>COUNTIFS(JOURNAL!F:F,"8",JOURNAL!J:J,"OCDW",JOURNAL!O:O,"SL")</f>
        <v>0</v>
      </c>
      <c r="AR73" s="271"/>
      <c r="AS73" s="55" t="s">
        <v>29</v>
      </c>
      <c r="AT73" s="165">
        <f>COUNTIFS(JOURNAL!F:F,"8",JOURNAL!J:J,"TCDC",JOURNAL!O:O,"SL")</f>
        <v>0</v>
      </c>
      <c r="AU73" s="271"/>
      <c r="AV73" s="55" t="s">
        <v>29</v>
      </c>
      <c r="AW73" s="165">
        <f>COUNTIFS(JOURNAL!F:F,"8",JOURNAL!J:J,"OCDC",JOURNAL!O:O,"SL")</f>
        <v>0</v>
      </c>
      <c r="AX73" s="271"/>
      <c r="AY73" s="55" t="s">
        <v>29</v>
      </c>
      <c r="AZ73" s="165">
        <f>COUNTIFS(JOURNAL!F:F,"8",JOURNAL!J:J,"TCP",JOURNAL!O:O,"SL")</f>
        <v>0</v>
      </c>
      <c r="BA73" s="271"/>
      <c r="BB73" s="55" t="s">
        <v>29</v>
      </c>
      <c r="BC73" s="165">
        <f>COUNTIFS(JOURNAL!F:F,"8",JOURNAL!J:J,"OCP",JOURNAL!O:O,"SL")</f>
        <v>0</v>
      </c>
      <c r="BD73" s="271"/>
      <c r="BE73" s="55" t="s">
        <v>29</v>
      </c>
      <c r="BF73" s="165">
        <f>COUNTIFS(JOURNAL!F:F,"8",JOURNAL!J:J,"RE",JOURNAL!O:O,"SL")</f>
        <v>0</v>
      </c>
    </row>
    <row r="74" spans="2:58" ht="18.75" customHeight="1" x14ac:dyDescent="0.25">
      <c r="B74" s="266"/>
      <c r="C74" s="115" t="s">
        <v>39</v>
      </c>
      <c r="D74" s="48">
        <f>COUNTIFS(JOURNAL!J:J,"TCP",JOURNAL!P:P,"RNG")</f>
        <v>0</v>
      </c>
      <c r="E74" s="59" t="s">
        <v>33</v>
      </c>
      <c r="F74" s="48">
        <f>COUNTIFS(JOURNAL!J:J,"TCP",JOURNAL!O:O,"OT +")</f>
        <v>0</v>
      </c>
      <c r="H74" s="266"/>
      <c r="I74" s="115" t="s">
        <v>39</v>
      </c>
      <c r="J74" s="48">
        <f>COUNTIFS(JOURNAL!J:J,"RE",JOURNAL!P:P,"RNG")</f>
        <v>0</v>
      </c>
      <c r="K74" s="59" t="s">
        <v>33</v>
      </c>
      <c r="L74" s="48">
        <f>COUNTIFS(JOURNAL!J:J,"RE",JOURNAL!O:O,"OT +")</f>
        <v>0</v>
      </c>
      <c r="Y74" s="273"/>
      <c r="Z74" s="271"/>
      <c r="AA74" s="56" t="s">
        <v>32</v>
      </c>
      <c r="AB74" s="165">
        <f>COUNTIFS(JOURNAL!F:F,"8",JOURNAL!J:J,"TCDP",JOURNAL!O:O,"RF")</f>
        <v>0</v>
      </c>
      <c r="AC74" s="271"/>
      <c r="AD74" s="56" t="s">
        <v>32</v>
      </c>
      <c r="AE74" s="165">
        <f>COUNTIFS(JOURNAL!F:F,"8",JOURNAL!J:J,"OCDP",JOURNAL!O:O,"RF")</f>
        <v>0</v>
      </c>
      <c r="AF74" s="271"/>
      <c r="AG74" s="56" t="s">
        <v>32</v>
      </c>
      <c r="AH74" s="165">
        <f>COUNTIFS(JOURNAL!F:F,"8",JOURNAL!J:J,"TCDL",JOURNAL!O:O,"RF")</f>
        <v>0</v>
      </c>
      <c r="AI74" s="271"/>
      <c r="AJ74" s="56" t="s">
        <v>32</v>
      </c>
      <c r="AK74" s="165">
        <f>COUNTIFS(JOURNAL!F:F,"8",JOURNAL!J:J,"OCDL",JOURNAL!O:O,"RF")</f>
        <v>0</v>
      </c>
      <c r="AL74" s="271"/>
      <c r="AM74" s="56" t="s">
        <v>32</v>
      </c>
      <c r="AN74" s="165">
        <f>COUNTIFS(JOURNAL!F:F,"8",JOURNAL!J:J,"TCDW",JOURNAL!O:O,"RF")</f>
        <v>0</v>
      </c>
      <c r="AO74" s="271"/>
      <c r="AP74" s="56" t="s">
        <v>32</v>
      </c>
      <c r="AQ74" s="165">
        <f>COUNTIFS(JOURNAL!F:F,"8",JOURNAL!J:J,"OCDW",JOURNAL!O:O,"RF")</f>
        <v>0</v>
      </c>
      <c r="AR74" s="271"/>
      <c r="AS74" s="56" t="s">
        <v>32</v>
      </c>
      <c r="AT74" s="165">
        <f>COUNTIFS(JOURNAL!F:F,"8",JOURNAL!J:J,"TCDC",JOURNAL!O:O,"RF")</f>
        <v>0</v>
      </c>
      <c r="AU74" s="271"/>
      <c r="AV74" s="56" t="s">
        <v>32</v>
      </c>
      <c r="AW74" s="165">
        <f>COUNTIFS(JOURNAL!F:F,"8",JOURNAL!J:J,"OCDC",JOURNAL!O:O,"RF")</f>
        <v>0</v>
      </c>
      <c r="AX74" s="271"/>
      <c r="AY74" s="56" t="s">
        <v>32</v>
      </c>
      <c r="AZ74" s="165">
        <f>COUNTIFS(JOURNAL!F:F,"8",JOURNAL!J:J,"TCP",JOURNAL!O:O,"RF")</f>
        <v>0</v>
      </c>
      <c r="BA74" s="271"/>
      <c r="BB74" s="56" t="s">
        <v>32</v>
      </c>
      <c r="BC74" s="165">
        <f>COUNTIFS(JOURNAL!F:F,"8",JOURNAL!J:J,"OCP",JOURNAL!O:O,"RF")</f>
        <v>0</v>
      </c>
      <c r="BD74" s="271"/>
      <c r="BE74" s="56" t="s">
        <v>32</v>
      </c>
      <c r="BF74" s="165">
        <f>COUNTIFS(JOURNAL!F:F,"8",JOURNAL!J:J,"RE",JOURNAL!O:O,"RF")</f>
        <v>0</v>
      </c>
    </row>
    <row r="75" spans="2:58" ht="19.5" customHeight="1" x14ac:dyDescent="0.25">
      <c r="B75" s="266"/>
      <c r="C75" s="116" t="s">
        <v>38</v>
      </c>
      <c r="D75" s="48">
        <f>COUNTIFS(JOURNAL!J:J,"TCP",JOURNAL!P:P,"Keep Went")</f>
        <v>0</v>
      </c>
      <c r="E75" s="60" t="s">
        <v>34</v>
      </c>
      <c r="F75" s="48">
        <f>COUNTIFS(JOURNAL!J:J,"TCP",JOURNAL!O:O,"OT -")</f>
        <v>0</v>
      </c>
      <c r="H75" s="266"/>
      <c r="I75" s="116" t="s">
        <v>38</v>
      </c>
      <c r="J75" s="48">
        <f>COUNTIFS(JOURNAL!J:J,"RE",JOURNAL!P:P,"Keep Went")</f>
        <v>0</v>
      </c>
      <c r="K75" s="60" t="s">
        <v>34</v>
      </c>
      <c r="L75" s="48">
        <f>COUNTIFS(JOURNAL!J:J,"RE",JOURNAL!O:O,"OT -")</f>
        <v>0</v>
      </c>
      <c r="Y75" s="273"/>
      <c r="Z75" s="271"/>
      <c r="AA75" s="57" t="s">
        <v>30</v>
      </c>
      <c r="AB75" s="165">
        <f>COUNTIFS(JOURNAL!F:F,"8",JOURNAL!J:J,"TCDP",JOURNAL!O:O,"PS")</f>
        <v>0</v>
      </c>
      <c r="AC75" s="271"/>
      <c r="AD75" s="57" t="s">
        <v>30</v>
      </c>
      <c r="AE75" s="165">
        <f>COUNTIFS(JOURNAL!F:F,"8",JOURNAL!J:J,"OCDP",JOURNAL!O:O,"PS")</f>
        <v>0</v>
      </c>
      <c r="AF75" s="271"/>
      <c r="AG75" s="57" t="s">
        <v>30</v>
      </c>
      <c r="AH75" s="165">
        <f>COUNTIFS(JOURNAL!F:F,"8",JOURNAL!J:J,"TCDL",JOURNAL!O:O,"PS")</f>
        <v>0</v>
      </c>
      <c r="AI75" s="271"/>
      <c r="AJ75" s="57" t="s">
        <v>30</v>
      </c>
      <c r="AK75" s="165">
        <f>COUNTIFS(JOURNAL!F:F,"8",JOURNAL!J:J,"OCDL",JOURNAL!O:O,"PS")</f>
        <v>0</v>
      </c>
      <c r="AL75" s="271"/>
      <c r="AM75" s="57" t="s">
        <v>30</v>
      </c>
      <c r="AN75" s="165">
        <f>COUNTIFS(JOURNAL!F:F,"8",JOURNAL!J:J,"TCDW",JOURNAL!O:O,"PS")</f>
        <v>0</v>
      </c>
      <c r="AO75" s="271"/>
      <c r="AP75" s="57" t="s">
        <v>30</v>
      </c>
      <c r="AQ75" s="165">
        <f>COUNTIFS(JOURNAL!F:F,"8",JOURNAL!J:J,"OCDW",JOURNAL!O:O,"PS")</f>
        <v>0</v>
      </c>
      <c r="AR75" s="271"/>
      <c r="AS75" s="57" t="s">
        <v>30</v>
      </c>
      <c r="AT75" s="165">
        <f>COUNTIFS(JOURNAL!F:F,"8",JOURNAL!J:J,"TCDC",JOURNAL!O:O,"PS")</f>
        <v>0</v>
      </c>
      <c r="AU75" s="271"/>
      <c r="AV75" s="57" t="s">
        <v>30</v>
      </c>
      <c r="AW75" s="165">
        <f>COUNTIFS(JOURNAL!F:F,"8",JOURNAL!J:J,"OCDC",JOURNAL!O:O,"PS")</f>
        <v>0</v>
      </c>
      <c r="AX75" s="271"/>
      <c r="AY75" s="57" t="s">
        <v>30</v>
      </c>
      <c r="AZ75" s="165">
        <f>COUNTIFS(JOURNAL!F:F,"8",JOURNAL!J:J,"TCP",JOURNAL!O:O,"PS")</f>
        <v>0</v>
      </c>
      <c r="BA75" s="271"/>
      <c r="BB75" s="57" t="s">
        <v>30</v>
      </c>
      <c r="BC75" s="165">
        <f>COUNTIFS(JOURNAL!F:F,"8",JOURNAL!J:J,"OCP",JOURNAL!O:O,"PS")</f>
        <v>0</v>
      </c>
      <c r="BD75" s="271"/>
      <c r="BE75" s="57" t="s">
        <v>30</v>
      </c>
      <c r="BF75" s="165">
        <f>COUNTIFS(JOURNAL!F:F,"8",JOURNAL!J:J,"RE",JOURNAL!O:O,"PS")</f>
        <v>0</v>
      </c>
    </row>
    <row r="76" spans="2:58" ht="21.75" customHeight="1" x14ac:dyDescent="0.25">
      <c r="B76" s="261"/>
      <c r="C76" s="121" t="s">
        <v>44</v>
      </c>
      <c r="D76" s="155" t="e">
        <f>SUM(F69,F71,F72,F74)/C69</f>
        <v>#DIV/0!</v>
      </c>
      <c r="E76" s="121" t="s">
        <v>46</v>
      </c>
      <c r="F76" s="155">
        <f>SUMIF(JOURNAL!J:J,"TCP",JOURNAL!Q:Q)</f>
        <v>0</v>
      </c>
      <c r="H76" s="261"/>
      <c r="I76" s="121" t="s">
        <v>44</v>
      </c>
      <c r="J76" s="155" t="e">
        <f>SUM(L69,L71,L72,L74)/I69</f>
        <v>#DIV/0!</v>
      </c>
      <c r="K76" s="121" t="s">
        <v>158</v>
      </c>
      <c r="L76" s="155">
        <f>SUMIF(JOURNAL!J:J,"RE",JOURNAL!Q:Q)</f>
        <v>0</v>
      </c>
      <c r="Y76" s="273"/>
      <c r="Z76" s="271"/>
      <c r="AA76" s="58" t="s">
        <v>31</v>
      </c>
      <c r="AB76" s="165">
        <f>COUNTIFS(JOURNAL!F:F,"8",JOURNAL!J:J,"TCDP",JOURNAL!O:O,"LS")</f>
        <v>0</v>
      </c>
      <c r="AC76" s="271"/>
      <c r="AD76" s="58" t="s">
        <v>31</v>
      </c>
      <c r="AE76" s="165">
        <f>COUNTIFS(JOURNAL!F:F,"8",JOURNAL!J:J,"OCDP",JOURNAL!O:O,"LS")</f>
        <v>0</v>
      </c>
      <c r="AF76" s="271"/>
      <c r="AG76" s="58" t="s">
        <v>31</v>
      </c>
      <c r="AH76" s="165">
        <f>COUNTIFS(JOURNAL!F:F,"8",JOURNAL!J:J,"TCDL",JOURNAL!O:O,"LS")</f>
        <v>0</v>
      </c>
      <c r="AI76" s="271"/>
      <c r="AJ76" s="58" t="s">
        <v>31</v>
      </c>
      <c r="AK76" s="165">
        <f>COUNTIFS(JOURNAL!F:F,"8",JOURNAL!J:J,"OCDL",JOURNAL!O:O,"LS")</f>
        <v>0</v>
      </c>
      <c r="AL76" s="271"/>
      <c r="AM76" s="58" t="s">
        <v>31</v>
      </c>
      <c r="AN76" s="165">
        <f>COUNTIFS(JOURNAL!F:F,"8",JOURNAL!J:J,"TCDW",JOURNAL!O:O,"LS")</f>
        <v>0</v>
      </c>
      <c r="AO76" s="271"/>
      <c r="AP76" s="58" t="s">
        <v>31</v>
      </c>
      <c r="AQ76" s="165">
        <f>COUNTIFS(JOURNAL!F:F,"8",JOURNAL!J:J,"OCDW",JOURNAL!O:O,"LS")</f>
        <v>0</v>
      </c>
      <c r="AR76" s="271"/>
      <c r="AS76" s="58" t="s">
        <v>31</v>
      </c>
      <c r="AT76" s="165">
        <f>COUNTIFS(JOURNAL!F:F,"8",JOURNAL!J:J,"TCDC",JOURNAL!O:O,"LS")</f>
        <v>0</v>
      </c>
      <c r="AU76" s="271"/>
      <c r="AV76" s="58" t="s">
        <v>31</v>
      </c>
      <c r="AW76" s="165">
        <f>COUNTIFS(JOURNAL!F:F,"8",JOURNAL!J:J,"OCDC",JOURNAL!O:O,"LS")</f>
        <v>0</v>
      </c>
      <c r="AX76" s="271"/>
      <c r="AY76" s="58" t="s">
        <v>31</v>
      </c>
      <c r="AZ76" s="165">
        <f>COUNTIFS(JOURNAL!F:F,"8",JOURNAL!J:J,"TCP",JOURNAL!O:O,"LS")</f>
        <v>0</v>
      </c>
      <c r="BA76" s="271"/>
      <c r="BB76" s="58" t="s">
        <v>31</v>
      </c>
      <c r="BC76" s="165">
        <f>COUNTIFS(JOURNAL!F:F,"8",JOURNAL!J:J,"OCP",JOURNAL!O:O,"LS")</f>
        <v>0</v>
      </c>
      <c r="BD76" s="271"/>
      <c r="BE76" s="58" t="s">
        <v>31</v>
      </c>
      <c r="BF76" s="165">
        <f>COUNTIFS(JOURNAL!F:F,"8",JOURNAL!J:J,"RE",JOURNAL!O:O,"LS")</f>
        <v>0</v>
      </c>
    </row>
    <row r="77" spans="2:58" ht="15.75" x14ac:dyDescent="0.25">
      <c r="Y77" s="273"/>
      <c r="Z77" s="271"/>
      <c r="AA77" s="59" t="s">
        <v>33</v>
      </c>
      <c r="AB77" s="165">
        <f>COUNTIFS(JOURNAL!F:F,"8",JOURNAL!J:J,"TCDP",JOURNAL!O:O,"OT +")</f>
        <v>0</v>
      </c>
      <c r="AC77" s="271"/>
      <c r="AD77" s="59" t="s">
        <v>33</v>
      </c>
      <c r="AE77" s="165">
        <f>COUNTIFS(JOURNAL!F:F,"8",JOURNAL!J:J,"OCDP",JOURNAL!O:O,"OT +")</f>
        <v>0</v>
      </c>
      <c r="AF77" s="271"/>
      <c r="AG77" s="59" t="s">
        <v>33</v>
      </c>
      <c r="AH77" s="165">
        <f>COUNTIFS(JOURNAL!F:F,"8",JOURNAL!J:J,"TCDL",JOURNAL!O:O,"OT +")</f>
        <v>0</v>
      </c>
      <c r="AI77" s="271"/>
      <c r="AJ77" s="59" t="s">
        <v>33</v>
      </c>
      <c r="AK77" s="165">
        <f>COUNTIFS(JOURNAL!F:F,"8",JOURNAL!J:J,"OCDL",JOURNAL!O:O,"OT  +")</f>
        <v>0</v>
      </c>
      <c r="AL77" s="271"/>
      <c r="AM77" s="59" t="s">
        <v>33</v>
      </c>
      <c r="AN77" s="165">
        <f>COUNTIFS(JOURNAL!F:F,"8",JOURNAL!J:J,"TCDW",JOURNAL!O:O,"OT +")</f>
        <v>0</v>
      </c>
      <c r="AO77" s="271"/>
      <c r="AP77" s="59" t="s">
        <v>33</v>
      </c>
      <c r="AQ77" s="165">
        <f>COUNTIFS(JOURNAL!F:F,"8",JOURNAL!J:J,"OCDW",JOURNAL!O:O,"OT +")</f>
        <v>0</v>
      </c>
      <c r="AR77" s="271"/>
      <c r="AS77" s="59" t="s">
        <v>33</v>
      </c>
      <c r="AT77" s="165">
        <f>COUNTIFS(JOURNAL!F:F,"8",JOURNAL!J:J,"TCDC",JOURNAL!O:O,"OT +")</f>
        <v>0</v>
      </c>
      <c r="AU77" s="271"/>
      <c r="AV77" s="59" t="s">
        <v>33</v>
      </c>
      <c r="AW77" s="165">
        <f>COUNTIFS(JOURNAL!F:F,"8",JOURNAL!J:J,"OCDC",JOURNAL!O:O,"OT +")</f>
        <v>0</v>
      </c>
      <c r="AX77" s="271"/>
      <c r="AY77" s="59" t="s">
        <v>33</v>
      </c>
      <c r="AZ77" s="165">
        <f>COUNTIFS(JOURNAL!F:F,"8",JOURNAL!J:J,"TCP",JOURNAL!O:O,"OT +")</f>
        <v>0</v>
      </c>
      <c r="BA77" s="271"/>
      <c r="BB77" s="59" t="s">
        <v>33</v>
      </c>
      <c r="BC77" s="165">
        <f>COUNTIFS(JOURNAL!F:F,"8",JOURNAL!J:J,"OCP",JOURNAL!O:O,"OT +")</f>
        <v>0</v>
      </c>
      <c r="BD77" s="271"/>
      <c r="BE77" s="59" t="s">
        <v>33</v>
      </c>
      <c r="BF77" s="165">
        <f>COUNTIFS(JOURNAL!F:F,"8",JOURNAL!J:J,"RE",JOURNAL!O:O,"OT +")</f>
        <v>0</v>
      </c>
    </row>
    <row r="78" spans="2:58" ht="15.75" x14ac:dyDescent="0.25">
      <c r="Y78" s="273"/>
      <c r="Z78" s="271"/>
      <c r="AA78" s="60" t="s">
        <v>34</v>
      </c>
      <c r="AB78" s="165">
        <f>COUNTIFS(JOURNAL!F:F,"8",JOURNAL!J:J,"TCDP",JOURNAL!O:O,"OT -")</f>
        <v>0</v>
      </c>
      <c r="AC78" s="271"/>
      <c r="AD78" s="60" t="s">
        <v>34</v>
      </c>
      <c r="AE78" s="165">
        <f>COUNTIFS(JOURNAL!F:F,"8",JOURNAL!J:J,"OCDP",JOURNAL!O:O,"OT -")</f>
        <v>0</v>
      </c>
      <c r="AF78" s="271"/>
      <c r="AG78" s="60" t="s">
        <v>34</v>
      </c>
      <c r="AH78" s="165">
        <f>COUNTIFS(JOURNAL!F:F,"8",JOURNAL!J:J,"TCDL",JOURNAL!O:O,"OT -")</f>
        <v>0</v>
      </c>
      <c r="AI78" s="271"/>
      <c r="AJ78" s="60" t="s">
        <v>34</v>
      </c>
      <c r="AK78" s="165">
        <f>COUNTIFS(JOURNAL!F:F,"8",JOURNAL!J:J,"OCDL",JOURNAL!O:O,"OT -")</f>
        <v>0</v>
      </c>
      <c r="AL78" s="271"/>
      <c r="AM78" s="60" t="s">
        <v>34</v>
      </c>
      <c r="AN78" s="165">
        <f>COUNTIFS(JOURNAL!F:F,"8",JOURNAL!J:J,"TCDW",JOURNAL!O:O,"OT -")</f>
        <v>0</v>
      </c>
      <c r="AO78" s="271"/>
      <c r="AP78" s="60" t="s">
        <v>34</v>
      </c>
      <c r="AQ78" s="165">
        <f>COUNTIFS(JOURNAL!F:F,"8",JOURNAL!J:J,"OCDW",JOURNAL!O:O,"OT -")</f>
        <v>0</v>
      </c>
      <c r="AR78" s="271"/>
      <c r="AS78" s="60" t="s">
        <v>34</v>
      </c>
      <c r="AT78" s="165">
        <f>COUNTIFS(JOURNAL!F:F,"8",JOURNAL!J:J,"TCDC",JOURNAL!O:O,"OT -")</f>
        <v>0</v>
      </c>
      <c r="AU78" s="271"/>
      <c r="AV78" s="60" t="s">
        <v>34</v>
      </c>
      <c r="AW78" s="165">
        <f>COUNTIFS(JOURNAL!F:F,"8",JOURNAL!J:J,"OCDC",JOURNAL!O:O,"OT -")</f>
        <v>0</v>
      </c>
      <c r="AX78" s="271"/>
      <c r="AY78" s="60" t="s">
        <v>34</v>
      </c>
      <c r="AZ78" s="165">
        <f>COUNTIFS(JOURNAL!F:F,"8",JOURNAL!J:J,"TCP",JOURNAL!O:O,"OT -")</f>
        <v>0</v>
      </c>
      <c r="BA78" s="271"/>
      <c r="BB78" s="60" t="s">
        <v>34</v>
      </c>
      <c r="BC78" s="165">
        <f>COUNTIFS(JOURNAL!F:F,"8",JOURNAL!J:J,"OCP",JOURNAL!O:O,"OT -")</f>
        <v>0</v>
      </c>
      <c r="BD78" s="271"/>
      <c r="BE78" s="60" t="s">
        <v>34</v>
      </c>
      <c r="BF78" s="165">
        <f>COUNTIFS(JOURNAL!F:F,"8",JOURNAL!J:J,"RE",JOURNAL!O:O,"OT -")</f>
        <v>0</v>
      </c>
    </row>
    <row r="79" spans="2:58" ht="15.75" x14ac:dyDescent="0.25">
      <c r="Y79" s="273"/>
      <c r="Z79" s="271"/>
      <c r="AA79" s="25" t="s">
        <v>115</v>
      </c>
      <c r="AB79" s="166">
        <f>SUM(AB72:AB78)</f>
        <v>0</v>
      </c>
      <c r="AC79" s="271"/>
      <c r="AD79" s="25" t="s">
        <v>115</v>
      </c>
      <c r="AE79" s="166">
        <f>SUM(AE72:AE78)</f>
        <v>0</v>
      </c>
      <c r="AF79" s="271"/>
      <c r="AG79" s="25" t="s">
        <v>115</v>
      </c>
      <c r="AH79" s="166">
        <f>SUM(AH72:AH78)</f>
        <v>0</v>
      </c>
      <c r="AI79" s="271"/>
      <c r="AJ79" s="25" t="s">
        <v>115</v>
      </c>
      <c r="AK79" s="166">
        <f>SUM(AK72:AK78)</f>
        <v>0</v>
      </c>
      <c r="AL79" s="271"/>
      <c r="AM79" s="25" t="s">
        <v>115</v>
      </c>
      <c r="AN79" s="166">
        <f>SUM(AN72:AN78)</f>
        <v>0</v>
      </c>
      <c r="AO79" s="271"/>
      <c r="AP79" s="25" t="s">
        <v>115</v>
      </c>
      <c r="AQ79" s="166">
        <f>SUM(AQ72:AQ78)</f>
        <v>0</v>
      </c>
      <c r="AR79" s="271"/>
      <c r="AS79" s="25" t="s">
        <v>115</v>
      </c>
      <c r="AT79" s="166">
        <f>SUM(AT72:AT78)</f>
        <v>0</v>
      </c>
      <c r="AU79" s="271"/>
      <c r="AV79" s="25" t="s">
        <v>115</v>
      </c>
      <c r="AW79" s="166">
        <f>SUM(AW72:AW78)</f>
        <v>0</v>
      </c>
      <c r="AX79" s="271"/>
      <c r="AY79" s="25" t="s">
        <v>115</v>
      </c>
      <c r="AZ79" s="166">
        <f>SUM(AZ72:AZ78)</f>
        <v>0</v>
      </c>
      <c r="BA79" s="271"/>
      <c r="BB79" s="25" t="s">
        <v>115</v>
      </c>
      <c r="BC79" s="166">
        <f>SUM(BC72:BC78)</f>
        <v>0</v>
      </c>
      <c r="BD79" s="271"/>
      <c r="BE79" s="25" t="s">
        <v>115</v>
      </c>
      <c r="BF79" s="166">
        <f>SUM(BF72:BF78)</f>
        <v>0</v>
      </c>
    </row>
    <row r="80" spans="2:58" ht="15.75" customHeight="1" x14ac:dyDescent="0.25">
      <c r="Y80" s="273"/>
      <c r="Z80" s="272"/>
      <c r="AA80" s="29" t="s">
        <v>44</v>
      </c>
      <c r="AB80" s="164" t="e">
        <f>SUM(AB72,AB74,AB75,AB77)/AB79</f>
        <v>#DIV/0!</v>
      </c>
      <c r="AC80" s="272"/>
      <c r="AD80" s="29" t="s">
        <v>44</v>
      </c>
      <c r="AE80" s="164" t="e">
        <f>SUM(AE72,AE74,AE75,AE77)/AE79</f>
        <v>#DIV/0!</v>
      </c>
      <c r="AF80" s="272"/>
      <c r="AG80" s="29" t="s">
        <v>44</v>
      </c>
      <c r="AH80" s="164" t="e">
        <f>SUM(AH72,AH74,AH75,AH77)/AH79</f>
        <v>#DIV/0!</v>
      </c>
      <c r="AI80" s="272"/>
      <c r="AJ80" s="29" t="s">
        <v>44</v>
      </c>
      <c r="AK80" s="164" t="e">
        <f>SUM(AK72,AK74,AK75,AK77)/AK79</f>
        <v>#DIV/0!</v>
      </c>
      <c r="AL80" s="272"/>
      <c r="AM80" s="29" t="s">
        <v>44</v>
      </c>
      <c r="AN80" s="164" t="e">
        <f>SUM(AN72,AN74,AN75,AN77)/AN79</f>
        <v>#DIV/0!</v>
      </c>
      <c r="AO80" s="272"/>
      <c r="AP80" s="29" t="s">
        <v>44</v>
      </c>
      <c r="AQ80" s="164" t="e">
        <f>SUM(AQ72,AQ74,AQ75,AQ77)/AQ79</f>
        <v>#DIV/0!</v>
      </c>
      <c r="AR80" s="272"/>
      <c r="AS80" s="29" t="s">
        <v>44</v>
      </c>
      <c r="AT80" s="164" t="e">
        <f>SUM(AT72,AT74,AT75,AT77)/AT79</f>
        <v>#DIV/0!</v>
      </c>
      <c r="AU80" s="272"/>
      <c r="AV80" s="29" t="s">
        <v>44</v>
      </c>
      <c r="AW80" s="164" t="e">
        <f>SUM(AW72,AW74,AW75,AW77)/AW79</f>
        <v>#DIV/0!</v>
      </c>
      <c r="AX80" s="272"/>
      <c r="AY80" s="29" t="s">
        <v>44</v>
      </c>
      <c r="AZ80" s="164" t="e">
        <f>SUM(AZ72,AZ74,AZ75,AZ77)/AZ79</f>
        <v>#DIV/0!</v>
      </c>
      <c r="BA80" s="272"/>
      <c r="BB80" s="29" t="s">
        <v>44</v>
      </c>
      <c r="BC80" s="164" t="e">
        <f>SUM(BC72,BC74,BC75,BC77)/BC79</f>
        <v>#DIV/0!</v>
      </c>
      <c r="BD80" s="272"/>
      <c r="BE80" s="29" t="s">
        <v>44</v>
      </c>
      <c r="BF80" s="164" t="e">
        <f>SUM(BF72,BF74,BF75,BF77)/BF79</f>
        <v>#DIV/0!</v>
      </c>
    </row>
    <row r="81" spans="25:58" ht="15.75" customHeight="1" x14ac:dyDescent="0.25"/>
    <row r="82" spans="25:58" ht="15.75" customHeight="1" x14ac:dyDescent="0.25">
      <c r="Y82" s="273" t="s">
        <v>76</v>
      </c>
      <c r="Z82" s="270" t="s">
        <v>6</v>
      </c>
      <c r="AA82" s="54" t="s">
        <v>27</v>
      </c>
      <c r="AB82" s="165">
        <f>COUNTIFS(JOURNAL!F:F,"9",JOURNAL!J:J,"TCDP",JOURNAL!O:O,"TP")</f>
        <v>0</v>
      </c>
      <c r="AC82" s="270" t="s">
        <v>7</v>
      </c>
      <c r="AD82" s="54" t="s">
        <v>27</v>
      </c>
      <c r="AE82" s="165">
        <f>COUNTIFS(JOURNAL!F:F,"9",JOURNAL!J:J,"OCDP",JOURNAL!O:O,"TP")</f>
        <v>0</v>
      </c>
      <c r="AF82" s="270" t="s">
        <v>9</v>
      </c>
      <c r="AG82" s="54" t="s">
        <v>27</v>
      </c>
      <c r="AH82" s="165">
        <f>COUNTIFS(JOURNAL!F:F,"9",JOURNAL!J:J,"TCDL",JOURNAL!O:O,"TP")</f>
        <v>0</v>
      </c>
      <c r="AI82" s="270" t="s">
        <v>10</v>
      </c>
      <c r="AJ82" s="54" t="s">
        <v>27</v>
      </c>
      <c r="AK82" s="165">
        <f>COUNTIFS(JOURNAL!F:F,"9",JOURNAL!J:J,"OCDL",JOURNAL!O:O,"TP")</f>
        <v>0</v>
      </c>
      <c r="AL82" s="270" t="s">
        <v>8</v>
      </c>
      <c r="AM82" s="54" t="s">
        <v>27</v>
      </c>
      <c r="AN82" s="165">
        <f>COUNTIFS(JOURNAL!F:F,"9",JOURNAL!J:J,"TCDW",JOURNAL!O:O,"TP")</f>
        <v>0</v>
      </c>
      <c r="AO82" s="270" t="s">
        <v>11</v>
      </c>
      <c r="AP82" s="54" t="s">
        <v>27</v>
      </c>
      <c r="AQ82" s="165">
        <f>COUNTIFS(JOURNAL!F:F,"9",JOURNAL!J:J,"OCDW",JOURNAL!O:O,"TP")</f>
        <v>0</v>
      </c>
      <c r="AR82" s="270" t="s">
        <v>12</v>
      </c>
      <c r="AS82" s="54" t="s">
        <v>27</v>
      </c>
      <c r="AT82" s="165">
        <f>COUNTIFS(JOURNAL!F:F,"9",JOURNAL!J:J,"TCDC",JOURNAL!O:O,"TP")</f>
        <v>0</v>
      </c>
      <c r="AU82" s="270" t="s">
        <v>13</v>
      </c>
      <c r="AV82" s="54" t="s">
        <v>27</v>
      </c>
      <c r="AW82" s="165">
        <f>COUNTIFS(JOURNAL!F:F,"9",JOURNAL!J:J,"OCDC",JOURNAL!O:O,"TP")</f>
        <v>0</v>
      </c>
      <c r="AX82" s="270" t="s">
        <v>14</v>
      </c>
      <c r="AY82" s="54" t="s">
        <v>27</v>
      </c>
      <c r="AZ82" s="165">
        <f>COUNTIFS(JOURNAL!F:F,"9",JOURNAL!J:J,"TCP",JOURNAL!O:O,"TP")</f>
        <v>0</v>
      </c>
      <c r="BA82" s="270" t="s">
        <v>15</v>
      </c>
      <c r="BB82" s="54" t="s">
        <v>27</v>
      </c>
      <c r="BC82" s="165">
        <f>COUNTIFS(JOURNAL!F:F,"9",JOURNAL!J:J,"OCP",JOURNAL!O:O,"TP")</f>
        <v>0</v>
      </c>
      <c r="BD82" s="270" t="s">
        <v>16</v>
      </c>
      <c r="BE82" s="54" t="s">
        <v>27</v>
      </c>
      <c r="BF82" s="165">
        <f>COUNTIFS(JOURNAL!F:F,"9",JOURNAL!J:J,"RE",JOURNAL!O:O,"TP")</f>
        <v>0</v>
      </c>
    </row>
    <row r="83" spans="25:58" ht="15.75" x14ac:dyDescent="0.25">
      <c r="Y83" s="273"/>
      <c r="Z83" s="271"/>
      <c r="AA83" s="55" t="s">
        <v>29</v>
      </c>
      <c r="AB83" s="165">
        <f>COUNTIFS(JOURNAL!F:F,"9",JOURNAL!J:J,"TCDP",JOURNAL!O:O,"SL")</f>
        <v>0</v>
      </c>
      <c r="AC83" s="271"/>
      <c r="AD83" s="55" t="s">
        <v>29</v>
      </c>
      <c r="AE83" s="165">
        <f>COUNTIFS(JOURNAL!F:F,"9",JOURNAL!J:J,"OCDP",JOURNAL!O:O,"SL")</f>
        <v>0</v>
      </c>
      <c r="AF83" s="271"/>
      <c r="AG83" s="55" t="s">
        <v>29</v>
      </c>
      <c r="AH83" s="165">
        <f>COUNTIFS(JOURNAL!F:F,"9",JOURNAL!J:J,"TCDL",JOURNAL!O:O,"SL")</f>
        <v>0</v>
      </c>
      <c r="AI83" s="271"/>
      <c r="AJ83" s="55" t="s">
        <v>29</v>
      </c>
      <c r="AK83" s="165">
        <f>COUNTIFS(JOURNAL!F:F,"9",JOURNAL!J:J,"OCDL",JOURNAL!O:O,"SL")</f>
        <v>0</v>
      </c>
      <c r="AL83" s="271"/>
      <c r="AM83" s="55" t="s">
        <v>29</v>
      </c>
      <c r="AN83" s="165">
        <f>COUNTIFS(JOURNAL!F:F,"9",JOURNAL!J:J,"TCDW",JOURNAL!O:O,"SL")</f>
        <v>0</v>
      </c>
      <c r="AO83" s="271"/>
      <c r="AP83" s="55" t="s">
        <v>29</v>
      </c>
      <c r="AQ83" s="165">
        <f>COUNTIFS(JOURNAL!F:F,"9",JOURNAL!J:J,"OCDW",JOURNAL!O:O,"SL")</f>
        <v>0</v>
      </c>
      <c r="AR83" s="271"/>
      <c r="AS83" s="55" t="s">
        <v>29</v>
      </c>
      <c r="AT83" s="165">
        <f>COUNTIFS(JOURNAL!F:F,"9",JOURNAL!J:J,"TCDC",JOURNAL!O:O,"SL")</f>
        <v>0</v>
      </c>
      <c r="AU83" s="271"/>
      <c r="AV83" s="55" t="s">
        <v>29</v>
      </c>
      <c r="AW83" s="165">
        <f>COUNTIFS(JOURNAL!F:F,"9",JOURNAL!J:J,"OCDC",JOURNAL!O:O,"SL")</f>
        <v>0</v>
      </c>
      <c r="AX83" s="271"/>
      <c r="AY83" s="55" t="s">
        <v>29</v>
      </c>
      <c r="AZ83" s="165">
        <f>COUNTIFS(JOURNAL!F:F,"9",JOURNAL!J:J,"TCP",JOURNAL!O:O,"SL")</f>
        <v>0</v>
      </c>
      <c r="BA83" s="271"/>
      <c r="BB83" s="55" t="s">
        <v>29</v>
      </c>
      <c r="BC83" s="165">
        <f>COUNTIFS(JOURNAL!F:F,"9",JOURNAL!J:J,"OCP",JOURNAL!O:O,"SL")</f>
        <v>0</v>
      </c>
      <c r="BD83" s="271"/>
      <c r="BE83" s="55" t="s">
        <v>29</v>
      </c>
      <c r="BF83" s="165">
        <f>COUNTIFS(JOURNAL!F:F,"9",JOURNAL!J:J,"RE",JOURNAL!O:O,"SL")</f>
        <v>0</v>
      </c>
    </row>
    <row r="84" spans="25:58" ht="15.75" x14ac:dyDescent="0.25">
      <c r="Y84" s="273"/>
      <c r="Z84" s="271"/>
      <c r="AA84" s="56" t="s">
        <v>32</v>
      </c>
      <c r="AB84" s="165">
        <f>COUNTIFS(JOURNAL!F:F,"9",JOURNAL!J:J,"TCDP",JOURNAL!O:O,"RF")</f>
        <v>0</v>
      </c>
      <c r="AC84" s="271"/>
      <c r="AD84" s="56" t="s">
        <v>32</v>
      </c>
      <c r="AE84" s="165">
        <f>COUNTIFS(JOURNAL!F:F,"9",JOURNAL!J:J,"OCDP",JOURNAL!O:O,"RF")</f>
        <v>0</v>
      </c>
      <c r="AF84" s="271"/>
      <c r="AG84" s="56" t="s">
        <v>32</v>
      </c>
      <c r="AH84" s="165">
        <f>COUNTIFS(JOURNAL!F:F,"9",JOURNAL!J:J,"TCDL",JOURNAL!O:O,"RF")</f>
        <v>0</v>
      </c>
      <c r="AI84" s="271"/>
      <c r="AJ84" s="56" t="s">
        <v>32</v>
      </c>
      <c r="AK84" s="165">
        <f>COUNTIFS(JOURNAL!F:F,"9",JOURNAL!J:J,"OCDL",JOURNAL!O:O,"RF")</f>
        <v>0</v>
      </c>
      <c r="AL84" s="271"/>
      <c r="AM84" s="56" t="s">
        <v>32</v>
      </c>
      <c r="AN84" s="165">
        <f>COUNTIFS(JOURNAL!F:F,"9",JOURNAL!J:J,"TCDW",JOURNAL!O:O,"RF")</f>
        <v>0</v>
      </c>
      <c r="AO84" s="271"/>
      <c r="AP84" s="56" t="s">
        <v>32</v>
      </c>
      <c r="AQ84" s="165">
        <f>COUNTIFS(JOURNAL!F:F,"9",JOURNAL!J:J,"OCDW",JOURNAL!O:O,"RF")</f>
        <v>0</v>
      </c>
      <c r="AR84" s="271"/>
      <c r="AS84" s="56" t="s">
        <v>32</v>
      </c>
      <c r="AT84" s="165">
        <f>COUNTIFS(JOURNAL!F:F,"9",JOURNAL!J:J,"TCDC",JOURNAL!O:O,"RF")</f>
        <v>0</v>
      </c>
      <c r="AU84" s="271"/>
      <c r="AV84" s="56" t="s">
        <v>32</v>
      </c>
      <c r="AW84" s="165">
        <f>COUNTIFS(JOURNAL!F:F,"9",JOURNAL!J:J,"OCDC",JOURNAL!O:O,"RF")</f>
        <v>0</v>
      </c>
      <c r="AX84" s="271"/>
      <c r="AY84" s="56" t="s">
        <v>32</v>
      </c>
      <c r="AZ84" s="165">
        <f>COUNTIFS(JOURNAL!F:F,"9",JOURNAL!J:J,"TCP",JOURNAL!O:O,"RF")</f>
        <v>0</v>
      </c>
      <c r="BA84" s="271"/>
      <c r="BB84" s="56" t="s">
        <v>32</v>
      </c>
      <c r="BC84" s="165">
        <f>COUNTIFS(JOURNAL!F:F,"9",JOURNAL!J:J,"OCP",JOURNAL!O:O,"RF")</f>
        <v>0</v>
      </c>
      <c r="BD84" s="271"/>
      <c r="BE84" s="56" t="s">
        <v>32</v>
      </c>
      <c r="BF84" s="165">
        <f>COUNTIFS(JOURNAL!F:F,"9",JOURNAL!J:J,"RE",JOURNAL!O:O,"RF")</f>
        <v>0</v>
      </c>
    </row>
    <row r="85" spans="25:58" ht="15.75" x14ac:dyDescent="0.25">
      <c r="Y85" s="273"/>
      <c r="Z85" s="271"/>
      <c r="AA85" s="57" t="s">
        <v>30</v>
      </c>
      <c r="AB85" s="165">
        <f>COUNTIFS(JOURNAL!F:F,"9",JOURNAL!J:J,"TCDP",JOURNAL!O:O,"PS")</f>
        <v>0</v>
      </c>
      <c r="AC85" s="271"/>
      <c r="AD85" s="57" t="s">
        <v>30</v>
      </c>
      <c r="AE85" s="165">
        <f>COUNTIFS(JOURNAL!F:F,"9",JOURNAL!J:J,"OCDP",JOURNAL!O:O,"PS")</f>
        <v>0</v>
      </c>
      <c r="AF85" s="271"/>
      <c r="AG85" s="57" t="s">
        <v>30</v>
      </c>
      <c r="AH85" s="165">
        <f>COUNTIFS(JOURNAL!F:F,"9",JOURNAL!J:J,"TCDL",JOURNAL!O:O,"PS")</f>
        <v>0</v>
      </c>
      <c r="AI85" s="271"/>
      <c r="AJ85" s="57" t="s">
        <v>30</v>
      </c>
      <c r="AK85" s="165">
        <f>COUNTIFS(JOURNAL!F:F,"9",JOURNAL!J:J,"OCDL",JOURNAL!O:O,"PS")</f>
        <v>0</v>
      </c>
      <c r="AL85" s="271"/>
      <c r="AM85" s="57" t="s">
        <v>30</v>
      </c>
      <c r="AN85" s="165">
        <f>COUNTIFS(JOURNAL!F:F,"9",JOURNAL!J:J,"TCDW",JOURNAL!O:O,"PS")</f>
        <v>0</v>
      </c>
      <c r="AO85" s="271"/>
      <c r="AP85" s="57" t="s">
        <v>30</v>
      </c>
      <c r="AQ85" s="165">
        <f>COUNTIFS(JOURNAL!F:F,"9",JOURNAL!J:J,"OCDW",JOURNAL!O:O,"PS")</f>
        <v>0</v>
      </c>
      <c r="AR85" s="271"/>
      <c r="AS85" s="57" t="s">
        <v>30</v>
      </c>
      <c r="AT85" s="165">
        <f>COUNTIFS(JOURNAL!F:F,"9",JOURNAL!J:J,"TCDC",JOURNAL!O:O,"PS")</f>
        <v>0</v>
      </c>
      <c r="AU85" s="271"/>
      <c r="AV85" s="57" t="s">
        <v>30</v>
      </c>
      <c r="AW85" s="165">
        <f>COUNTIFS(JOURNAL!F:F,"9",JOURNAL!J:J,"OCDC",JOURNAL!O:O,"PS")</f>
        <v>0</v>
      </c>
      <c r="AX85" s="271"/>
      <c r="AY85" s="57" t="s">
        <v>30</v>
      </c>
      <c r="AZ85" s="165">
        <f>COUNTIFS(JOURNAL!F:F,"9",JOURNAL!J:J,"TCP",JOURNAL!O:O,"PS")</f>
        <v>0</v>
      </c>
      <c r="BA85" s="271"/>
      <c r="BB85" s="57" t="s">
        <v>30</v>
      </c>
      <c r="BC85" s="165">
        <f>COUNTIFS(JOURNAL!F:F,"9",JOURNAL!J:J,"OCP",JOURNAL!O:O,"PS")</f>
        <v>0</v>
      </c>
      <c r="BD85" s="271"/>
      <c r="BE85" s="57" t="s">
        <v>30</v>
      </c>
      <c r="BF85" s="165">
        <f>COUNTIFS(JOURNAL!F:F,"9",JOURNAL!J:J,"RE",JOURNAL!O:O,"PS")</f>
        <v>0</v>
      </c>
    </row>
    <row r="86" spans="25:58" ht="15.75" x14ac:dyDescent="0.25">
      <c r="Y86" s="273"/>
      <c r="Z86" s="271"/>
      <c r="AA86" s="58" t="s">
        <v>31</v>
      </c>
      <c r="AB86" s="165">
        <f>COUNTIFS(JOURNAL!F:F,"9",JOURNAL!J:J,"TCDP",JOURNAL!O:O,"LS")</f>
        <v>0</v>
      </c>
      <c r="AC86" s="271"/>
      <c r="AD86" s="58" t="s">
        <v>31</v>
      </c>
      <c r="AE86" s="165">
        <f>COUNTIFS(JOURNAL!F:F,"9",JOURNAL!J:J,"OCDP",JOURNAL!O:O,"LS")</f>
        <v>0</v>
      </c>
      <c r="AF86" s="271"/>
      <c r="AG86" s="58" t="s">
        <v>31</v>
      </c>
      <c r="AH86" s="165">
        <f>COUNTIFS(JOURNAL!F:F,"9",JOURNAL!J:J,"TCDL",JOURNAL!O:O,"LS")</f>
        <v>0</v>
      </c>
      <c r="AI86" s="271"/>
      <c r="AJ86" s="58" t="s">
        <v>31</v>
      </c>
      <c r="AK86" s="165">
        <f>COUNTIFS(JOURNAL!F:F,"9",JOURNAL!J:J,"OCDL",JOURNAL!O:O,"LS")</f>
        <v>0</v>
      </c>
      <c r="AL86" s="271"/>
      <c r="AM86" s="58" t="s">
        <v>31</v>
      </c>
      <c r="AN86" s="165">
        <f>COUNTIFS(JOURNAL!F:F,"9",JOURNAL!J:J,"TCDW",JOURNAL!O:O,"LS")</f>
        <v>0</v>
      </c>
      <c r="AO86" s="271"/>
      <c r="AP86" s="58" t="s">
        <v>31</v>
      </c>
      <c r="AQ86" s="165">
        <f>COUNTIFS(JOURNAL!F:F,"9",JOURNAL!J:J,"OCDW",JOURNAL!O:O,"LS")</f>
        <v>0</v>
      </c>
      <c r="AR86" s="271"/>
      <c r="AS86" s="58" t="s">
        <v>31</v>
      </c>
      <c r="AT86" s="165">
        <f>COUNTIFS(JOURNAL!F:F,"9",JOURNAL!J:J,"TCDC",JOURNAL!O:O,"LS")</f>
        <v>0</v>
      </c>
      <c r="AU86" s="271"/>
      <c r="AV86" s="58" t="s">
        <v>31</v>
      </c>
      <c r="AW86" s="165">
        <f>COUNTIFS(JOURNAL!F:F,"9",JOURNAL!J:J,"OCDC",JOURNAL!O:O,"LS")</f>
        <v>0</v>
      </c>
      <c r="AX86" s="271"/>
      <c r="AY86" s="58" t="s">
        <v>31</v>
      </c>
      <c r="AZ86" s="165">
        <f>COUNTIFS(JOURNAL!F:F,"9",JOURNAL!J:J,"TCP",JOURNAL!O:O,"LS")</f>
        <v>0</v>
      </c>
      <c r="BA86" s="271"/>
      <c r="BB86" s="58" t="s">
        <v>31</v>
      </c>
      <c r="BC86" s="165">
        <f>COUNTIFS(JOURNAL!F:F,"9",JOURNAL!J:J,"OCP",JOURNAL!O:O,"LS")</f>
        <v>0</v>
      </c>
      <c r="BD86" s="271"/>
      <c r="BE86" s="58" t="s">
        <v>31</v>
      </c>
      <c r="BF86" s="165">
        <f>COUNTIFS(JOURNAL!F:F,"9",JOURNAL!J:J,"RE",JOURNAL!O:O,"LS")</f>
        <v>0</v>
      </c>
    </row>
    <row r="87" spans="25:58" ht="15.75" x14ac:dyDescent="0.25">
      <c r="Y87" s="273"/>
      <c r="Z87" s="271"/>
      <c r="AA87" s="59" t="s">
        <v>33</v>
      </c>
      <c r="AB87" s="165">
        <f>COUNTIFS(JOURNAL!F:F,"9",JOURNAL!J:J,"TCDP",JOURNAL!O:O,"OT +")</f>
        <v>0</v>
      </c>
      <c r="AC87" s="271"/>
      <c r="AD87" s="59" t="s">
        <v>33</v>
      </c>
      <c r="AE87" s="165">
        <f>COUNTIFS(JOURNAL!F:F,"9",JOURNAL!J:J,"OCDP",JOURNAL!O:O,"OT +")</f>
        <v>0</v>
      </c>
      <c r="AF87" s="271"/>
      <c r="AG87" s="59" t="s">
        <v>33</v>
      </c>
      <c r="AH87" s="165">
        <f>COUNTIFS(JOURNAL!F:F,"9",JOURNAL!J:J,"TCDL",JOURNAL!O:O,"OT +")</f>
        <v>0</v>
      </c>
      <c r="AI87" s="271"/>
      <c r="AJ87" s="59" t="s">
        <v>33</v>
      </c>
      <c r="AK87" s="165">
        <f>COUNTIFS(JOURNAL!F:F,"9",JOURNAL!J:J,"OCDL",JOURNAL!O:O,"OT  +")</f>
        <v>0</v>
      </c>
      <c r="AL87" s="271"/>
      <c r="AM87" s="59" t="s">
        <v>33</v>
      </c>
      <c r="AN87" s="165">
        <f>COUNTIFS(JOURNAL!F:F,"9",JOURNAL!J:J,"TCDW",JOURNAL!O:O,"OT +")</f>
        <v>0</v>
      </c>
      <c r="AO87" s="271"/>
      <c r="AP87" s="59" t="s">
        <v>33</v>
      </c>
      <c r="AQ87" s="165">
        <f>COUNTIFS(JOURNAL!F:F,"9",JOURNAL!J:J,"OCDW",JOURNAL!O:O,"OT +")</f>
        <v>0</v>
      </c>
      <c r="AR87" s="271"/>
      <c r="AS87" s="59" t="s">
        <v>33</v>
      </c>
      <c r="AT87" s="165">
        <f>COUNTIFS(JOURNAL!F:F,"9",JOURNAL!J:J,"TCDC",JOURNAL!O:O,"OT +")</f>
        <v>0</v>
      </c>
      <c r="AU87" s="271"/>
      <c r="AV87" s="59" t="s">
        <v>33</v>
      </c>
      <c r="AW87" s="165">
        <f>COUNTIFS(JOURNAL!F:F,"9",JOURNAL!J:J,"OCDC",JOURNAL!O:O,"OT +")</f>
        <v>0</v>
      </c>
      <c r="AX87" s="271"/>
      <c r="AY87" s="59" t="s">
        <v>33</v>
      </c>
      <c r="AZ87" s="165">
        <f>COUNTIFS(JOURNAL!F:F,"9",JOURNAL!J:J,"TCP",JOURNAL!O:O,"OT +")</f>
        <v>0</v>
      </c>
      <c r="BA87" s="271"/>
      <c r="BB87" s="59" t="s">
        <v>33</v>
      </c>
      <c r="BC87" s="165">
        <f>COUNTIFS(JOURNAL!F:F,"9",JOURNAL!J:J,"OCP",JOURNAL!O:O,"OT +")</f>
        <v>0</v>
      </c>
      <c r="BD87" s="271"/>
      <c r="BE87" s="59" t="s">
        <v>33</v>
      </c>
      <c r="BF87" s="165">
        <f>COUNTIFS(JOURNAL!F:F,"9",JOURNAL!J:J,"RE",JOURNAL!O:O,"OT +")</f>
        <v>0</v>
      </c>
    </row>
    <row r="88" spans="25:58" ht="15.75" x14ac:dyDescent="0.25">
      <c r="Y88" s="273"/>
      <c r="Z88" s="271"/>
      <c r="AA88" s="60" t="s">
        <v>34</v>
      </c>
      <c r="AB88" s="165">
        <f>COUNTIFS(JOURNAL!F:F,"9",JOURNAL!J:J,"TCDP",JOURNAL!O:O,"TP")</f>
        <v>0</v>
      </c>
      <c r="AC88" s="271"/>
      <c r="AD88" s="60" t="s">
        <v>34</v>
      </c>
      <c r="AE88" s="165">
        <f>COUNTIFS(JOURNAL!F:F,"9",JOURNAL!J:J,"OCDP",JOURNAL!O:O,"OT -")</f>
        <v>0</v>
      </c>
      <c r="AF88" s="271"/>
      <c r="AG88" s="60" t="s">
        <v>34</v>
      </c>
      <c r="AH88" s="165">
        <f>COUNTIFS(JOURNAL!F:F,"9",JOURNAL!J:J,"TCDL",JOURNAL!O:O,"OT -")</f>
        <v>0</v>
      </c>
      <c r="AI88" s="271"/>
      <c r="AJ88" s="60" t="s">
        <v>34</v>
      </c>
      <c r="AK88" s="165">
        <f>COUNTIFS(JOURNAL!F:F,"9",JOURNAL!J:J,"OCDL",JOURNAL!O:O,"OT -")</f>
        <v>0</v>
      </c>
      <c r="AL88" s="271"/>
      <c r="AM88" s="60" t="s">
        <v>34</v>
      </c>
      <c r="AN88" s="165">
        <f>COUNTIFS(JOURNAL!F:F,"9",JOURNAL!J:J,"TCDW",JOURNAL!O:O,"OT -")</f>
        <v>0</v>
      </c>
      <c r="AO88" s="271"/>
      <c r="AP88" s="60" t="s">
        <v>34</v>
      </c>
      <c r="AQ88" s="165">
        <f>COUNTIFS(JOURNAL!F:F,"9",JOURNAL!J:J,"OCDW",JOURNAL!O:O,"OT -")</f>
        <v>0</v>
      </c>
      <c r="AR88" s="271"/>
      <c r="AS88" s="60" t="s">
        <v>34</v>
      </c>
      <c r="AT88" s="165">
        <f>COUNTIFS(JOURNAL!F:F,"9",JOURNAL!J:J,"TCDC",JOURNAL!O:O,"OT -")</f>
        <v>0</v>
      </c>
      <c r="AU88" s="271"/>
      <c r="AV88" s="60" t="s">
        <v>34</v>
      </c>
      <c r="AW88" s="165">
        <f>COUNTIFS(JOURNAL!F:F,"9",JOURNAL!J:J,"OCDC",JOURNAL!O:O,"OT -")</f>
        <v>0</v>
      </c>
      <c r="AX88" s="271"/>
      <c r="AY88" s="60" t="s">
        <v>34</v>
      </c>
      <c r="AZ88" s="165">
        <f>COUNTIFS(JOURNAL!F:F,"9",JOURNAL!J:J,"TCP",JOURNAL!O:O,"OT -")</f>
        <v>0</v>
      </c>
      <c r="BA88" s="271"/>
      <c r="BB88" s="60" t="s">
        <v>34</v>
      </c>
      <c r="BC88" s="165">
        <f>COUNTIFS(JOURNAL!F:F,"9",JOURNAL!J:J,"OCP",JOURNAL!O:O,"OT -")</f>
        <v>0</v>
      </c>
      <c r="BD88" s="271"/>
      <c r="BE88" s="60" t="s">
        <v>34</v>
      </c>
      <c r="BF88" s="165">
        <f>COUNTIFS(JOURNAL!F:F,"9",JOURNAL!J:J,"RE",JOURNAL!O:O,"OT -")</f>
        <v>0</v>
      </c>
    </row>
    <row r="89" spans="25:58" ht="15.75" x14ac:dyDescent="0.25">
      <c r="Y89" s="273"/>
      <c r="Z89" s="271"/>
      <c r="AA89" s="25" t="s">
        <v>115</v>
      </c>
      <c r="AB89" s="166">
        <f>SUM(AB82:AB88)</f>
        <v>0</v>
      </c>
      <c r="AC89" s="271"/>
      <c r="AD89" s="25" t="s">
        <v>115</v>
      </c>
      <c r="AE89" s="166">
        <f>SUM(AE82:AE88)</f>
        <v>0</v>
      </c>
      <c r="AF89" s="271"/>
      <c r="AG89" s="25" t="s">
        <v>115</v>
      </c>
      <c r="AH89" s="166">
        <f>SUM(AH82:AH88)</f>
        <v>0</v>
      </c>
      <c r="AI89" s="271"/>
      <c r="AJ89" s="25" t="s">
        <v>115</v>
      </c>
      <c r="AK89" s="166">
        <f>SUM(AK82:AK88)</f>
        <v>0</v>
      </c>
      <c r="AL89" s="271"/>
      <c r="AM89" s="25" t="s">
        <v>115</v>
      </c>
      <c r="AN89" s="166">
        <f>SUM(AN82:AN88)</f>
        <v>0</v>
      </c>
      <c r="AO89" s="271"/>
      <c r="AP89" s="25" t="s">
        <v>115</v>
      </c>
      <c r="AQ89" s="166">
        <f>SUM(AQ82:AQ88)</f>
        <v>0</v>
      </c>
      <c r="AR89" s="271"/>
      <c r="AS89" s="25" t="s">
        <v>115</v>
      </c>
      <c r="AT89" s="166">
        <f>SUM(AT82:AT88)</f>
        <v>0</v>
      </c>
      <c r="AU89" s="271"/>
      <c r="AV89" s="25" t="s">
        <v>115</v>
      </c>
      <c r="AW89" s="166">
        <f>SUM(AW82:AW88)</f>
        <v>0</v>
      </c>
      <c r="AX89" s="271"/>
      <c r="AY89" s="25" t="s">
        <v>115</v>
      </c>
      <c r="AZ89" s="166">
        <f>SUM(AZ82:AZ88)</f>
        <v>0</v>
      </c>
      <c r="BA89" s="271"/>
      <c r="BB89" s="25" t="s">
        <v>115</v>
      </c>
      <c r="BC89" s="166">
        <f>SUM(BC82:BC88)</f>
        <v>0</v>
      </c>
      <c r="BD89" s="271"/>
      <c r="BE89" s="25" t="s">
        <v>115</v>
      </c>
      <c r="BF89" s="166">
        <f>SUM(BF82:BF88)</f>
        <v>0</v>
      </c>
    </row>
    <row r="90" spans="25:58" ht="15.75" x14ac:dyDescent="0.25">
      <c r="Y90" s="273"/>
      <c r="Z90" s="272"/>
      <c r="AA90" s="29" t="s">
        <v>44</v>
      </c>
      <c r="AB90" s="164" t="e">
        <f>SUM(AB82,AB84,AB85,AB87)/AB89</f>
        <v>#DIV/0!</v>
      </c>
      <c r="AC90" s="272"/>
      <c r="AD90" s="29" t="s">
        <v>44</v>
      </c>
      <c r="AE90" s="164" t="e">
        <f>SUM(AE82,AE84,AE85,AE87)/AE89</f>
        <v>#DIV/0!</v>
      </c>
      <c r="AF90" s="272"/>
      <c r="AG90" s="29" t="s">
        <v>44</v>
      </c>
      <c r="AH90" s="164" t="e">
        <f>SUM(AH82,AH84,AH85,AH87)/AH89</f>
        <v>#DIV/0!</v>
      </c>
      <c r="AI90" s="272"/>
      <c r="AJ90" s="29" t="s">
        <v>44</v>
      </c>
      <c r="AK90" s="164" t="e">
        <f>SUM(AK82,AK84,AK85,AK87)/AK89</f>
        <v>#DIV/0!</v>
      </c>
      <c r="AL90" s="272"/>
      <c r="AM90" s="29" t="s">
        <v>44</v>
      </c>
      <c r="AN90" s="164" t="e">
        <f>SUM(AN82,AN84,AN85,AN87)/AN89</f>
        <v>#DIV/0!</v>
      </c>
      <c r="AO90" s="272"/>
      <c r="AP90" s="29" t="s">
        <v>44</v>
      </c>
      <c r="AQ90" s="164" t="e">
        <f>SUM(AQ82,AQ84,AQ85,AQ87)/AQ89</f>
        <v>#DIV/0!</v>
      </c>
      <c r="AR90" s="272"/>
      <c r="AS90" s="29" t="s">
        <v>44</v>
      </c>
      <c r="AT90" s="164" t="e">
        <f>SUM(AT82,AT84,AT85,AT87)/AT89</f>
        <v>#DIV/0!</v>
      </c>
      <c r="AU90" s="272"/>
      <c r="AV90" s="29" t="s">
        <v>44</v>
      </c>
      <c r="AW90" s="164" t="e">
        <f>SUM(AW82,AW84,AW85,AW87)/AW89</f>
        <v>#DIV/0!</v>
      </c>
      <c r="AX90" s="272"/>
      <c r="AY90" s="29" t="s">
        <v>44</v>
      </c>
      <c r="AZ90" s="164" t="e">
        <f>SUM(AZ82,AZ84,AZ85,AZ87)/AZ89</f>
        <v>#DIV/0!</v>
      </c>
      <c r="BA90" s="272"/>
      <c r="BB90" s="29" t="s">
        <v>44</v>
      </c>
      <c r="BC90" s="164" t="e">
        <f>SUM(BC82,BC84,BC85,BC87)/BC89</f>
        <v>#DIV/0!</v>
      </c>
      <c r="BD90" s="272"/>
      <c r="BE90" s="29" t="s">
        <v>44</v>
      </c>
      <c r="BF90" s="164" t="e">
        <f>SUM(BF82,BF84,BF85,BF87)/BF89</f>
        <v>#DIV/0!</v>
      </c>
    </row>
    <row r="92" spans="25:58" ht="15.75" customHeight="1" x14ac:dyDescent="0.25">
      <c r="Y92" s="273" t="s">
        <v>77</v>
      </c>
      <c r="Z92" s="270" t="s">
        <v>6</v>
      </c>
      <c r="AA92" s="54" t="s">
        <v>27</v>
      </c>
      <c r="AB92" s="165">
        <f>COUNTIFS(JOURNAL!F:F,"10",JOURNAL!J:J,"TCDP",JOURNAL!O:O,"TP")</f>
        <v>0</v>
      </c>
      <c r="AC92" s="270" t="s">
        <v>7</v>
      </c>
      <c r="AD92" s="54" t="s">
        <v>27</v>
      </c>
      <c r="AE92" s="165">
        <f>COUNTIFS(JOURNAL!F:F,"10",JOURNAL!J:J,"OCDP",JOURNAL!O:O,"TP")</f>
        <v>0</v>
      </c>
      <c r="AF92" s="270" t="s">
        <v>9</v>
      </c>
      <c r="AG92" s="54" t="s">
        <v>27</v>
      </c>
      <c r="AH92" s="165">
        <f>COUNTIFS(JOURNAL!F:F,"10",JOURNAL!J:J,"TCDL",JOURNAL!O:O,"TP")</f>
        <v>0</v>
      </c>
      <c r="AI92" s="270" t="s">
        <v>10</v>
      </c>
      <c r="AJ92" s="54" t="s">
        <v>27</v>
      </c>
      <c r="AK92" s="165">
        <f>COUNTIFS(JOURNAL!F:F,"10",JOURNAL!J:J,"OCDL",JOURNAL!O:O,"TP")</f>
        <v>0</v>
      </c>
      <c r="AL92" s="270" t="s">
        <v>8</v>
      </c>
      <c r="AM92" s="54" t="s">
        <v>27</v>
      </c>
      <c r="AN92" s="165">
        <f>COUNTIFS(JOURNAL!F:F,"10",JOURNAL!J:J,"TCDW",JOURNAL!O:O,"TP")</f>
        <v>0</v>
      </c>
      <c r="AO92" s="270" t="s">
        <v>11</v>
      </c>
      <c r="AP92" s="54" t="s">
        <v>27</v>
      </c>
      <c r="AQ92" s="165">
        <f>COUNTIFS(JOURNAL!F:F,"10",JOURNAL!J:J,"OCDW",JOURNAL!O:O,"TP")</f>
        <v>0</v>
      </c>
      <c r="AR92" s="270" t="s">
        <v>12</v>
      </c>
      <c r="AS92" s="54" t="s">
        <v>27</v>
      </c>
      <c r="AT92" s="165">
        <f>COUNTIFS(JOURNAL!F:F,"10",JOURNAL!J:J,"TCDC",JOURNAL!O:O,"TP")</f>
        <v>0</v>
      </c>
      <c r="AU92" s="270" t="s">
        <v>13</v>
      </c>
      <c r="AV92" s="54" t="s">
        <v>27</v>
      </c>
      <c r="AW92" s="165">
        <f>COUNTIFS(JOURNAL!F:F,"10",JOURNAL!J:J,"OCDC",JOURNAL!O:O,"TP")</f>
        <v>0</v>
      </c>
      <c r="AX92" s="270" t="s">
        <v>14</v>
      </c>
      <c r="AY92" s="54" t="s">
        <v>27</v>
      </c>
      <c r="AZ92" s="165">
        <f>COUNTIFS(JOURNAL!F:F,"10",JOURNAL!J:J,"TCP",JOURNAL!O:O,"TP")</f>
        <v>0</v>
      </c>
      <c r="BA92" s="270" t="s">
        <v>15</v>
      </c>
      <c r="BB92" s="54" t="s">
        <v>27</v>
      </c>
      <c r="BC92" s="165">
        <f>COUNTIFS(JOURNAL!F:F,"10",JOURNAL!J:J,"OCP",JOURNAL!O:O,"TP")</f>
        <v>0</v>
      </c>
      <c r="BD92" s="270" t="s">
        <v>16</v>
      </c>
      <c r="BE92" s="54" t="s">
        <v>27</v>
      </c>
      <c r="BF92" s="165">
        <f>COUNTIFS(JOURNAL!F:F,"10",JOURNAL!J:J,"RE",JOURNAL!O:O,"TP")</f>
        <v>0</v>
      </c>
    </row>
    <row r="93" spans="25:58" ht="15.75" x14ac:dyDescent="0.25">
      <c r="Y93" s="273"/>
      <c r="Z93" s="271"/>
      <c r="AA93" s="55" t="s">
        <v>29</v>
      </c>
      <c r="AB93" s="165">
        <f>COUNTIFS(JOURNAL!F:F,"10",JOURNAL!J:J,"TCDP",JOURNAL!O:O,"SL")</f>
        <v>0</v>
      </c>
      <c r="AC93" s="271"/>
      <c r="AD93" s="55" t="s">
        <v>29</v>
      </c>
      <c r="AE93" s="165">
        <f>COUNTIFS(JOURNAL!F:F,"10",JOURNAL!J:J,"OCDP",JOURNAL!O:O,"SL")</f>
        <v>0</v>
      </c>
      <c r="AF93" s="271"/>
      <c r="AG93" s="55" t="s">
        <v>29</v>
      </c>
      <c r="AH93" s="165">
        <f>COUNTIFS(JOURNAL!F:F,"10",JOURNAL!J:J,"TCDL",JOURNAL!O:O,"SL")</f>
        <v>0</v>
      </c>
      <c r="AI93" s="271"/>
      <c r="AJ93" s="55" t="s">
        <v>29</v>
      </c>
      <c r="AK93" s="165">
        <f>COUNTIFS(JOURNAL!F:F,"10",JOURNAL!J:J,"OCDL",JOURNAL!O:O,"SL")</f>
        <v>0</v>
      </c>
      <c r="AL93" s="271"/>
      <c r="AM93" s="55" t="s">
        <v>29</v>
      </c>
      <c r="AN93" s="165">
        <f>COUNTIFS(JOURNAL!F:F,"10",JOURNAL!J:J,"TCDW",JOURNAL!O:O,"SL")</f>
        <v>0</v>
      </c>
      <c r="AO93" s="271"/>
      <c r="AP93" s="55" t="s">
        <v>29</v>
      </c>
      <c r="AQ93" s="165">
        <f>COUNTIFS(JOURNAL!F:F,"10",JOURNAL!J:J,"OCDW",JOURNAL!O:O,"SL")</f>
        <v>0</v>
      </c>
      <c r="AR93" s="271"/>
      <c r="AS93" s="55" t="s">
        <v>29</v>
      </c>
      <c r="AT93" s="165">
        <f>COUNTIFS(JOURNAL!F:F,"10",JOURNAL!J:J,"TCDC",JOURNAL!O:O,"SL")</f>
        <v>0</v>
      </c>
      <c r="AU93" s="271"/>
      <c r="AV93" s="55" t="s">
        <v>29</v>
      </c>
      <c r="AW93" s="165">
        <f>COUNTIFS(JOURNAL!F:F,"10",JOURNAL!J:J,"OCDC",JOURNAL!O:O,"SL")</f>
        <v>0</v>
      </c>
      <c r="AX93" s="271"/>
      <c r="AY93" s="55" t="s">
        <v>29</v>
      </c>
      <c r="AZ93" s="165">
        <f>COUNTIFS(JOURNAL!F:F,"10",JOURNAL!J:J,"TCP",JOURNAL!O:O,"SL")</f>
        <v>0</v>
      </c>
      <c r="BA93" s="271"/>
      <c r="BB93" s="55" t="s">
        <v>29</v>
      </c>
      <c r="BC93" s="165">
        <f>COUNTIFS(JOURNAL!F:F,"10",JOURNAL!J:J,"OCP",JOURNAL!O:O,"SL")</f>
        <v>0</v>
      </c>
      <c r="BD93" s="271"/>
      <c r="BE93" s="55" t="s">
        <v>29</v>
      </c>
      <c r="BF93" s="165">
        <f>COUNTIFS(JOURNAL!F:F,"10",JOURNAL!J:J,"RE",JOURNAL!O:O,"SL")</f>
        <v>0</v>
      </c>
    </row>
    <row r="94" spans="25:58" ht="15.75" x14ac:dyDescent="0.25">
      <c r="Y94" s="273"/>
      <c r="Z94" s="271"/>
      <c r="AA94" s="56" t="s">
        <v>32</v>
      </c>
      <c r="AB94" s="165">
        <f>COUNTIFS(JOURNAL!F:F,"10",JOURNAL!J:J,"TCDP",JOURNAL!O:O,"RF")</f>
        <v>0</v>
      </c>
      <c r="AC94" s="271"/>
      <c r="AD94" s="56" t="s">
        <v>32</v>
      </c>
      <c r="AE94" s="165">
        <f>COUNTIFS(JOURNAL!F:F,"10",JOURNAL!J:J,"OCDP",JOURNAL!O:O,"RF")</f>
        <v>0</v>
      </c>
      <c r="AF94" s="271"/>
      <c r="AG94" s="56" t="s">
        <v>32</v>
      </c>
      <c r="AH94" s="165">
        <f>COUNTIFS(JOURNAL!F:F,"10",JOURNAL!J:J,"TCDL",JOURNAL!O:O,"RF")</f>
        <v>0</v>
      </c>
      <c r="AI94" s="271"/>
      <c r="AJ94" s="56" t="s">
        <v>32</v>
      </c>
      <c r="AK94" s="165">
        <f>COUNTIFS(JOURNAL!F:F,"10",JOURNAL!J:J,"OCDL",JOURNAL!O:O,"RF")</f>
        <v>0</v>
      </c>
      <c r="AL94" s="271"/>
      <c r="AM94" s="56" t="s">
        <v>32</v>
      </c>
      <c r="AN94" s="165">
        <f>COUNTIFS(JOURNAL!F:F,"10",JOURNAL!J:J,"TCDW",JOURNAL!O:O,"RF")</f>
        <v>0</v>
      </c>
      <c r="AO94" s="271"/>
      <c r="AP94" s="56" t="s">
        <v>32</v>
      </c>
      <c r="AQ94" s="165">
        <f>COUNTIFS(JOURNAL!F:F,"10",JOURNAL!J:J,"OCDW",JOURNAL!O:O,"RF")</f>
        <v>0</v>
      </c>
      <c r="AR94" s="271"/>
      <c r="AS94" s="56" t="s">
        <v>32</v>
      </c>
      <c r="AT94" s="165">
        <f>COUNTIFS(JOURNAL!F:F,"10",JOURNAL!J:J,"TCDC",JOURNAL!O:O,"RF")</f>
        <v>0</v>
      </c>
      <c r="AU94" s="271"/>
      <c r="AV94" s="56" t="s">
        <v>32</v>
      </c>
      <c r="AW94" s="165">
        <f>COUNTIFS(JOURNAL!F:F,"10",JOURNAL!J:J,"OCDC",JOURNAL!O:O,"RF")</f>
        <v>0</v>
      </c>
      <c r="AX94" s="271"/>
      <c r="AY94" s="56" t="s">
        <v>32</v>
      </c>
      <c r="AZ94" s="165">
        <f>COUNTIFS(JOURNAL!F:F,"10",JOURNAL!J:J,"TCP",JOURNAL!O:O,"RF")</f>
        <v>0</v>
      </c>
      <c r="BA94" s="271"/>
      <c r="BB94" s="56" t="s">
        <v>32</v>
      </c>
      <c r="BC94" s="165">
        <f>COUNTIFS(JOURNAL!F:F,"10",JOURNAL!J:J,"OCP",JOURNAL!O:O,"RF")</f>
        <v>0</v>
      </c>
      <c r="BD94" s="271"/>
      <c r="BE94" s="56" t="s">
        <v>32</v>
      </c>
      <c r="BF94" s="165">
        <f>COUNTIFS(JOURNAL!F:F,"10",JOURNAL!J:J,"RE",JOURNAL!O:O,"RF")</f>
        <v>0</v>
      </c>
    </row>
    <row r="95" spans="25:58" ht="15.75" x14ac:dyDescent="0.25">
      <c r="Y95" s="273"/>
      <c r="Z95" s="271"/>
      <c r="AA95" s="57" t="s">
        <v>30</v>
      </c>
      <c r="AB95" s="165">
        <f>COUNTIFS(JOURNAL!F:F,"10",JOURNAL!J:J,"TCDP",JOURNAL!O:O,"PS")</f>
        <v>0</v>
      </c>
      <c r="AC95" s="271"/>
      <c r="AD95" s="57" t="s">
        <v>30</v>
      </c>
      <c r="AE95" s="165">
        <f>COUNTIFS(JOURNAL!F:F,"10",JOURNAL!J:J,"OCDP",JOURNAL!O:O,"PS")</f>
        <v>0</v>
      </c>
      <c r="AF95" s="271"/>
      <c r="AG95" s="57" t="s">
        <v>30</v>
      </c>
      <c r="AH95" s="165">
        <f>COUNTIFS(JOURNAL!F:F,"10",JOURNAL!J:J,"TCDL",JOURNAL!O:O,"PS")</f>
        <v>0</v>
      </c>
      <c r="AI95" s="271"/>
      <c r="AJ95" s="57" t="s">
        <v>30</v>
      </c>
      <c r="AK95" s="165">
        <f>COUNTIFS(JOURNAL!F:F,"10",JOURNAL!J:J,"OCDL",JOURNAL!O:O,"PS")</f>
        <v>0</v>
      </c>
      <c r="AL95" s="271"/>
      <c r="AM95" s="57" t="s">
        <v>30</v>
      </c>
      <c r="AN95" s="165">
        <f>COUNTIFS(JOURNAL!F:F,"10",JOURNAL!J:J,"TCDW",JOURNAL!O:O,"PS")</f>
        <v>0</v>
      </c>
      <c r="AO95" s="271"/>
      <c r="AP95" s="57" t="s">
        <v>30</v>
      </c>
      <c r="AQ95" s="165">
        <f>COUNTIFS(JOURNAL!F:F,"10",JOURNAL!J:J,"OCDW",JOURNAL!O:O,"PS")</f>
        <v>0</v>
      </c>
      <c r="AR95" s="271"/>
      <c r="AS95" s="57" t="s">
        <v>30</v>
      </c>
      <c r="AT95" s="165">
        <f>COUNTIFS(JOURNAL!F:F,"10",JOURNAL!J:J,"TCDC",JOURNAL!O:O,"PS")</f>
        <v>0</v>
      </c>
      <c r="AU95" s="271"/>
      <c r="AV95" s="57" t="s">
        <v>30</v>
      </c>
      <c r="AW95" s="165">
        <f>COUNTIFS(JOURNAL!F:F,"10",JOURNAL!J:J,"OCDC",JOURNAL!O:O,"PS")</f>
        <v>0</v>
      </c>
      <c r="AX95" s="271"/>
      <c r="AY95" s="57" t="s">
        <v>30</v>
      </c>
      <c r="AZ95" s="165">
        <f>COUNTIFS(JOURNAL!F:F,"10",JOURNAL!J:J,"TCP",JOURNAL!O:O,"PS")</f>
        <v>0</v>
      </c>
      <c r="BA95" s="271"/>
      <c r="BB95" s="57" t="s">
        <v>30</v>
      </c>
      <c r="BC95" s="165">
        <f>COUNTIFS(JOURNAL!F:F,"10",JOURNAL!J:J,"OCP",JOURNAL!O:O,"PS")</f>
        <v>0</v>
      </c>
      <c r="BD95" s="271"/>
      <c r="BE95" s="57" t="s">
        <v>30</v>
      </c>
      <c r="BF95" s="165">
        <f>COUNTIFS(JOURNAL!F:F,"10",JOURNAL!J:J,"RE",JOURNAL!O:O,"PS")</f>
        <v>0</v>
      </c>
    </row>
    <row r="96" spans="25:58" ht="15.75" x14ac:dyDescent="0.25">
      <c r="Y96" s="273"/>
      <c r="Z96" s="271"/>
      <c r="AA96" s="58" t="s">
        <v>31</v>
      </c>
      <c r="AB96" s="165">
        <f>COUNTIFS(JOURNAL!F:F,"10",JOURNAL!J:J,"TCDP",JOURNAL!O:O,"LS")</f>
        <v>0</v>
      </c>
      <c r="AC96" s="271"/>
      <c r="AD96" s="58" t="s">
        <v>31</v>
      </c>
      <c r="AE96" s="165">
        <f>COUNTIFS(JOURNAL!F:F,"10",JOURNAL!J:J,"OCDP",JOURNAL!O:O,"LS")</f>
        <v>0</v>
      </c>
      <c r="AF96" s="271"/>
      <c r="AG96" s="58" t="s">
        <v>31</v>
      </c>
      <c r="AH96" s="165">
        <f>COUNTIFS(JOURNAL!F:F,"10",JOURNAL!J:J,"TCDL",JOURNAL!O:O,"LS")</f>
        <v>0</v>
      </c>
      <c r="AI96" s="271"/>
      <c r="AJ96" s="58" t="s">
        <v>31</v>
      </c>
      <c r="AK96" s="165">
        <f>COUNTIFS(JOURNAL!F:F,"10",JOURNAL!J:J,"OCDL",JOURNAL!O:O,"LS")</f>
        <v>0</v>
      </c>
      <c r="AL96" s="271"/>
      <c r="AM96" s="58" t="s">
        <v>31</v>
      </c>
      <c r="AN96" s="165">
        <f>COUNTIFS(JOURNAL!F:F,"10",JOURNAL!J:J,"TCDW",JOURNAL!O:O,"LS")</f>
        <v>0</v>
      </c>
      <c r="AO96" s="271"/>
      <c r="AP96" s="58" t="s">
        <v>31</v>
      </c>
      <c r="AQ96" s="165">
        <f>COUNTIFS(JOURNAL!F:F,"10",JOURNAL!J:J,"OCDW",JOURNAL!O:O,"LS")</f>
        <v>0</v>
      </c>
      <c r="AR96" s="271"/>
      <c r="AS96" s="58" t="s">
        <v>31</v>
      </c>
      <c r="AT96" s="165">
        <f>COUNTIFS(JOURNAL!F:F,"10",JOURNAL!J:J,"TCDC",JOURNAL!O:O,"LS")</f>
        <v>0</v>
      </c>
      <c r="AU96" s="271"/>
      <c r="AV96" s="58" t="s">
        <v>31</v>
      </c>
      <c r="AW96" s="165">
        <f>COUNTIFS(JOURNAL!F:F,"10",JOURNAL!J:J,"OCDC",JOURNAL!O:O,"LS")</f>
        <v>0</v>
      </c>
      <c r="AX96" s="271"/>
      <c r="AY96" s="58" t="s">
        <v>31</v>
      </c>
      <c r="AZ96" s="165">
        <f>COUNTIFS(JOURNAL!F:F,"10",JOURNAL!J:J,"TCP",JOURNAL!O:O,"LS")</f>
        <v>0</v>
      </c>
      <c r="BA96" s="271"/>
      <c r="BB96" s="58" t="s">
        <v>31</v>
      </c>
      <c r="BC96" s="165">
        <f>COUNTIFS(JOURNAL!F:F,"10",JOURNAL!J:J,"OCP",JOURNAL!O:O,"LS")</f>
        <v>0</v>
      </c>
      <c r="BD96" s="271"/>
      <c r="BE96" s="58" t="s">
        <v>31</v>
      </c>
      <c r="BF96" s="165">
        <f>COUNTIFS(JOURNAL!F:F,"10",JOURNAL!J:J,"RE",JOURNAL!O:O,"LS")</f>
        <v>0</v>
      </c>
    </row>
    <row r="97" spans="25:58" ht="15.75" x14ac:dyDescent="0.25">
      <c r="Y97" s="273"/>
      <c r="Z97" s="271"/>
      <c r="AA97" s="59" t="s">
        <v>33</v>
      </c>
      <c r="AB97" s="165">
        <f>COUNTIFS(JOURNAL!F:F,"10",JOURNAL!J:J,"TCDP",JOURNAL!O:O,"OT +")</f>
        <v>0</v>
      </c>
      <c r="AC97" s="271"/>
      <c r="AD97" s="59" t="s">
        <v>33</v>
      </c>
      <c r="AE97" s="165">
        <f>COUNTIFS(JOURNAL!F:F,"10",JOURNAL!J:J,"OCDP",JOURNAL!O:O,"OT +")</f>
        <v>0</v>
      </c>
      <c r="AF97" s="271"/>
      <c r="AG97" s="59" t="s">
        <v>33</v>
      </c>
      <c r="AH97" s="165">
        <f>COUNTIFS(JOURNAL!F:F,"10",JOURNAL!J:J,"TCDL",JOURNAL!O:O,"OT +")</f>
        <v>0</v>
      </c>
      <c r="AI97" s="271"/>
      <c r="AJ97" s="59" t="s">
        <v>33</v>
      </c>
      <c r="AK97" s="165">
        <f>COUNTIFS(JOURNAL!F:F,"10",JOURNAL!J:J,"OCDL",JOURNAL!O:O,"OT  +")</f>
        <v>0</v>
      </c>
      <c r="AL97" s="271"/>
      <c r="AM97" s="59" t="s">
        <v>33</v>
      </c>
      <c r="AN97" s="165">
        <f>COUNTIFS(JOURNAL!F:F,"10",JOURNAL!J:J,"TCDW",JOURNAL!O:O,"OT +")</f>
        <v>0</v>
      </c>
      <c r="AO97" s="271"/>
      <c r="AP97" s="59" t="s">
        <v>33</v>
      </c>
      <c r="AQ97" s="165">
        <f>COUNTIFS(JOURNAL!F:F,"10",JOURNAL!J:J,"OCDW",JOURNAL!O:O,"OT +")</f>
        <v>0</v>
      </c>
      <c r="AR97" s="271"/>
      <c r="AS97" s="59" t="s">
        <v>33</v>
      </c>
      <c r="AT97" s="165">
        <f>COUNTIFS(JOURNAL!F:F,"10",JOURNAL!J:J,"TCDC",JOURNAL!O:O,"OT +")</f>
        <v>0</v>
      </c>
      <c r="AU97" s="271"/>
      <c r="AV97" s="59" t="s">
        <v>33</v>
      </c>
      <c r="AW97" s="165">
        <f>COUNTIFS(JOURNAL!F:F,"10",JOURNAL!J:J,"OCDC",JOURNAL!O:O,"OT +")</f>
        <v>0</v>
      </c>
      <c r="AX97" s="271"/>
      <c r="AY97" s="59" t="s">
        <v>33</v>
      </c>
      <c r="AZ97" s="165">
        <f>COUNTIFS(JOURNAL!F:F,"10",JOURNAL!J:J,"TCP",JOURNAL!O:O,"OT +")</f>
        <v>0</v>
      </c>
      <c r="BA97" s="271"/>
      <c r="BB97" s="59" t="s">
        <v>33</v>
      </c>
      <c r="BC97" s="165">
        <f>COUNTIFS(JOURNAL!F:F,"10",JOURNAL!J:J,"OCP",JOURNAL!O:O,"OT +")</f>
        <v>0</v>
      </c>
      <c r="BD97" s="271"/>
      <c r="BE97" s="59" t="s">
        <v>33</v>
      </c>
      <c r="BF97" s="165">
        <f>COUNTIFS(JOURNAL!F:F,"10",JOURNAL!J:J,"RE",JOURNAL!O:O,"OT +")</f>
        <v>0</v>
      </c>
    </row>
    <row r="98" spans="25:58" ht="15.75" x14ac:dyDescent="0.25">
      <c r="Y98" s="273"/>
      <c r="Z98" s="271"/>
      <c r="AA98" s="60" t="s">
        <v>34</v>
      </c>
      <c r="AB98" s="165">
        <f>COUNTIFS(JOURNAL!F:F,"10",JOURNAL!J:J,"TCDP",JOURNAL!O:O,"OT -")</f>
        <v>0</v>
      </c>
      <c r="AC98" s="271"/>
      <c r="AD98" s="60" t="s">
        <v>34</v>
      </c>
      <c r="AE98" s="165">
        <f>COUNTIFS(JOURNAL!F:F,"10",JOURNAL!J:J,"OCDP",JOURNAL!O:O,"OT -")</f>
        <v>0</v>
      </c>
      <c r="AF98" s="271"/>
      <c r="AG98" s="60" t="s">
        <v>34</v>
      </c>
      <c r="AH98" s="165">
        <f>COUNTIFS(JOURNAL!F:F,"10",JOURNAL!J:J,"TCDL",JOURNAL!O:O,"OT -")</f>
        <v>0</v>
      </c>
      <c r="AI98" s="271"/>
      <c r="AJ98" s="60" t="s">
        <v>34</v>
      </c>
      <c r="AK98" s="165">
        <f>COUNTIFS(JOURNAL!F:F,"10",JOURNAL!J:J,"OCDL",JOURNAL!O:O,"OT -")</f>
        <v>0</v>
      </c>
      <c r="AL98" s="271"/>
      <c r="AM98" s="60" t="s">
        <v>34</v>
      </c>
      <c r="AN98" s="165">
        <f>COUNTIFS(JOURNAL!F:F,"10",JOURNAL!J:J,"TCDW",JOURNAL!O:O,"OT -")</f>
        <v>0</v>
      </c>
      <c r="AO98" s="271"/>
      <c r="AP98" s="60" t="s">
        <v>34</v>
      </c>
      <c r="AQ98" s="165">
        <f>COUNTIFS(JOURNAL!F:F,"10",JOURNAL!J:J,"OCDW",JOURNAL!O:O,"OT -")</f>
        <v>0</v>
      </c>
      <c r="AR98" s="271"/>
      <c r="AS98" s="60" t="s">
        <v>34</v>
      </c>
      <c r="AT98" s="165">
        <f>COUNTIFS(JOURNAL!F:F,"10",JOURNAL!J:J,"TCDC",JOURNAL!O:O,"OT -")</f>
        <v>0</v>
      </c>
      <c r="AU98" s="271"/>
      <c r="AV98" s="60" t="s">
        <v>34</v>
      </c>
      <c r="AW98" s="165">
        <f>COUNTIFS(JOURNAL!F:F,"10",JOURNAL!J:J,"OCDC",JOURNAL!O:O,"OT -")</f>
        <v>0</v>
      </c>
      <c r="AX98" s="271"/>
      <c r="AY98" s="60" t="s">
        <v>34</v>
      </c>
      <c r="AZ98" s="165">
        <f>COUNTIFS(JOURNAL!F:F,"10",JOURNAL!J:J,"TCP",JOURNAL!O:O,"OT -")</f>
        <v>0</v>
      </c>
      <c r="BA98" s="271"/>
      <c r="BB98" s="60" t="s">
        <v>34</v>
      </c>
      <c r="BC98" s="165">
        <f>COUNTIFS(JOURNAL!F:F,"10",JOURNAL!J:J,"OCP",JOURNAL!O:O,"OT -")</f>
        <v>0</v>
      </c>
      <c r="BD98" s="271"/>
      <c r="BE98" s="60" t="s">
        <v>34</v>
      </c>
      <c r="BF98" s="165">
        <f>COUNTIFS(JOURNAL!F:F,"10",JOURNAL!J:J,"RE",JOURNAL!O:O,"OT -")</f>
        <v>0</v>
      </c>
    </row>
    <row r="99" spans="25:58" ht="15.75" x14ac:dyDescent="0.25">
      <c r="Y99" s="273"/>
      <c r="Z99" s="271"/>
      <c r="AA99" s="25" t="s">
        <v>115</v>
      </c>
      <c r="AB99" s="166">
        <f>SUM(AB92:AB98)</f>
        <v>0</v>
      </c>
      <c r="AC99" s="271"/>
      <c r="AD99" s="25" t="s">
        <v>115</v>
      </c>
      <c r="AE99" s="166">
        <f>SUM(AE92:AE98)</f>
        <v>0</v>
      </c>
      <c r="AF99" s="271"/>
      <c r="AG99" s="25" t="s">
        <v>115</v>
      </c>
      <c r="AH99" s="166">
        <f>SUM(AH92:AH98)</f>
        <v>0</v>
      </c>
      <c r="AI99" s="271"/>
      <c r="AJ99" s="25" t="s">
        <v>115</v>
      </c>
      <c r="AK99" s="166">
        <f>SUM(AK92:AK98)</f>
        <v>0</v>
      </c>
      <c r="AL99" s="271"/>
      <c r="AM99" s="25" t="s">
        <v>115</v>
      </c>
      <c r="AN99" s="166">
        <f>SUM(AN92:AN98)</f>
        <v>0</v>
      </c>
      <c r="AO99" s="271"/>
      <c r="AP99" s="25" t="s">
        <v>115</v>
      </c>
      <c r="AQ99" s="166">
        <f>SUM(AQ92:AQ98)</f>
        <v>0</v>
      </c>
      <c r="AR99" s="271"/>
      <c r="AS99" s="25" t="s">
        <v>115</v>
      </c>
      <c r="AT99" s="166">
        <f>SUM(AT92:AT98)</f>
        <v>0</v>
      </c>
      <c r="AU99" s="271"/>
      <c r="AV99" s="25" t="s">
        <v>115</v>
      </c>
      <c r="AW99" s="166">
        <f>SUM(AW92:AW98)</f>
        <v>0</v>
      </c>
      <c r="AX99" s="271"/>
      <c r="AY99" s="25" t="s">
        <v>115</v>
      </c>
      <c r="AZ99" s="166">
        <f>SUM(AZ92:AZ98)</f>
        <v>0</v>
      </c>
      <c r="BA99" s="271"/>
      <c r="BB99" s="25" t="s">
        <v>115</v>
      </c>
      <c r="BC99" s="166">
        <f>SUM(BC92:BC98)</f>
        <v>0</v>
      </c>
      <c r="BD99" s="271"/>
      <c r="BE99" s="25" t="s">
        <v>115</v>
      </c>
      <c r="BF99" s="166">
        <f>SUM(BF92:BF98)</f>
        <v>0</v>
      </c>
    </row>
    <row r="100" spans="25:58" ht="15.75" x14ac:dyDescent="0.25">
      <c r="Y100" s="273"/>
      <c r="Z100" s="272"/>
      <c r="AA100" s="29" t="s">
        <v>44</v>
      </c>
      <c r="AB100" s="164" t="e">
        <f>SUM(AB92,AB94,AB95,AB97)/AB99</f>
        <v>#DIV/0!</v>
      </c>
      <c r="AC100" s="272"/>
      <c r="AD100" s="29" t="s">
        <v>44</v>
      </c>
      <c r="AE100" s="164" t="e">
        <f>SUM(AE92,AE94,AE95,AE97)/AE99</f>
        <v>#DIV/0!</v>
      </c>
      <c r="AF100" s="272"/>
      <c r="AG100" s="29" t="s">
        <v>44</v>
      </c>
      <c r="AH100" s="164" t="e">
        <f>SUM(AH92,AH94,AH95,AH97)/AH99</f>
        <v>#DIV/0!</v>
      </c>
      <c r="AI100" s="272"/>
      <c r="AJ100" s="29" t="s">
        <v>44</v>
      </c>
      <c r="AK100" s="164" t="e">
        <f>SUM(AK92,AK94,AK95,AK97)/AK99</f>
        <v>#DIV/0!</v>
      </c>
      <c r="AL100" s="272"/>
      <c r="AM100" s="29" t="s">
        <v>44</v>
      </c>
      <c r="AN100" s="164" t="e">
        <f>SUM(AN92,AN94,AN95,AN97)/AN99</f>
        <v>#DIV/0!</v>
      </c>
      <c r="AO100" s="272"/>
      <c r="AP100" s="29" t="s">
        <v>44</v>
      </c>
      <c r="AQ100" s="164" t="e">
        <f>SUM(AQ92,AQ94,AQ95,AQ97)/AQ99</f>
        <v>#DIV/0!</v>
      </c>
      <c r="AR100" s="272"/>
      <c r="AS100" s="29" t="s">
        <v>44</v>
      </c>
      <c r="AT100" s="164" t="e">
        <f>SUM(AT92,AT94,AT95,AT97)/AT99</f>
        <v>#DIV/0!</v>
      </c>
      <c r="AU100" s="272"/>
      <c r="AV100" s="29" t="s">
        <v>44</v>
      </c>
      <c r="AW100" s="164" t="e">
        <f>SUM(AW92,AW94,AW95,AW97)/AW99</f>
        <v>#DIV/0!</v>
      </c>
      <c r="AX100" s="272"/>
      <c r="AY100" s="29" t="s">
        <v>44</v>
      </c>
      <c r="AZ100" s="164" t="e">
        <f>SUM(AZ92,AZ94,AZ95,AZ97)/AZ99</f>
        <v>#DIV/0!</v>
      </c>
      <c r="BA100" s="272"/>
      <c r="BB100" s="29" t="s">
        <v>44</v>
      </c>
      <c r="BC100" s="164" t="e">
        <f>SUM(BC92,BC94,BC95,BC97)/BC99</f>
        <v>#DIV/0!</v>
      </c>
      <c r="BD100" s="272"/>
      <c r="BE100" s="29" t="s">
        <v>44</v>
      </c>
      <c r="BF100" s="164" t="e">
        <f>SUM(BF92,BF94,BF95,BF97)/BF99</f>
        <v>#DIV/0!</v>
      </c>
    </row>
    <row r="102" spans="25:58" ht="15.75" x14ac:dyDescent="0.25">
      <c r="Y102" s="273" t="s">
        <v>78</v>
      </c>
      <c r="Z102" s="270" t="s">
        <v>6</v>
      </c>
      <c r="AA102" s="54" t="s">
        <v>27</v>
      </c>
      <c r="AB102" s="165">
        <f>COUNTIFS(JOURNAL!F:F,"11",JOURNAL!J:J,"TCDP",JOURNAL!O:O,"TP")</f>
        <v>0</v>
      </c>
      <c r="AC102" s="270" t="s">
        <v>7</v>
      </c>
      <c r="AD102" s="54" t="s">
        <v>27</v>
      </c>
      <c r="AE102" s="165">
        <f>COUNTIFS(JOURNAL!F:F,"11",JOURNAL!J:J,"OCDP",JOURNAL!O:O,"TP")</f>
        <v>0</v>
      </c>
      <c r="AF102" s="270" t="s">
        <v>9</v>
      </c>
      <c r="AG102" s="54" t="s">
        <v>27</v>
      </c>
      <c r="AH102" s="165">
        <f>COUNTIFS(JOURNAL!F:F,"11",JOURNAL!J:J,"TCDL",JOURNAL!O:O,"TP")</f>
        <v>0</v>
      </c>
      <c r="AI102" s="270" t="s">
        <v>10</v>
      </c>
      <c r="AJ102" s="54" t="s">
        <v>27</v>
      </c>
      <c r="AK102" s="165">
        <f>COUNTIFS(JOURNAL!F:F,"11",JOURNAL!J:J,"OCDL",JOURNAL!O:O,"TP")</f>
        <v>0</v>
      </c>
      <c r="AL102" s="270" t="s">
        <v>8</v>
      </c>
      <c r="AM102" s="54" t="s">
        <v>27</v>
      </c>
      <c r="AN102" s="165">
        <f>COUNTIFS(JOURNAL!F:F,"11",JOURNAL!J:J,"TCDW",JOURNAL!O:O,"TP")</f>
        <v>0</v>
      </c>
      <c r="AO102" s="270" t="s">
        <v>11</v>
      </c>
      <c r="AP102" s="54" t="s">
        <v>27</v>
      </c>
      <c r="AQ102" s="165">
        <f>COUNTIFS(JOURNAL!F:F,"11",JOURNAL!J:J,"OCDW",JOURNAL!O:O,"TP")</f>
        <v>0</v>
      </c>
      <c r="AR102" s="270" t="s">
        <v>12</v>
      </c>
      <c r="AS102" s="54" t="s">
        <v>27</v>
      </c>
      <c r="AT102" s="165">
        <f>COUNTIFS(JOURNAL!F:F,"11",JOURNAL!J:J,"TCDC",JOURNAL!O:O,"TP")</f>
        <v>0</v>
      </c>
      <c r="AU102" s="270" t="s">
        <v>13</v>
      </c>
      <c r="AV102" s="54" t="s">
        <v>27</v>
      </c>
      <c r="AW102" s="165">
        <f>COUNTIFS(JOURNAL!F:F,"11",JOURNAL!J:J,"OCDC",JOURNAL!O:O,"TP")</f>
        <v>0</v>
      </c>
      <c r="AX102" s="270" t="s">
        <v>14</v>
      </c>
      <c r="AY102" s="54" t="s">
        <v>27</v>
      </c>
      <c r="AZ102" s="165">
        <f>COUNTIFS(JOURNAL!F:F,"11",JOURNAL!J:J,"TCP",JOURNAL!O:O,"TP")</f>
        <v>0</v>
      </c>
      <c r="BA102" s="270" t="s">
        <v>15</v>
      </c>
      <c r="BB102" s="54" t="s">
        <v>27</v>
      </c>
      <c r="BC102" s="165">
        <f>COUNTIFS(JOURNAL!F:F,"11",JOURNAL!J:J,"OCP",JOURNAL!O:O,"TP")</f>
        <v>0</v>
      </c>
      <c r="BD102" s="270" t="s">
        <v>16</v>
      </c>
      <c r="BE102" s="54" t="s">
        <v>27</v>
      </c>
      <c r="BF102" s="165">
        <f>COUNTIFS(JOURNAL!F:F,"11",JOURNAL!J:J,"RE",JOURNAL!O:O,"TP")</f>
        <v>0</v>
      </c>
    </row>
    <row r="103" spans="25:58" ht="15.75" x14ac:dyDescent="0.25">
      <c r="Y103" s="273"/>
      <c r="Z103" s="271"/>
      <c r="AA103" s="55" t="s">
        <v>29</v>
      </c>
      <c r="AB103" s="165">
        <f>COUNTIFS(JOURNAL!F:F,"11",JOURNAL!J:J,"TCDP",JOURNAL!O:O,"SL")</f>
        <v>0</v>
      </c>
      <c r="AC103" s="271"/>
      <c r="AD103" s="55" t="s">
        <v>29</v>
      </c>
      <c r="AE103" s="165">
        <f>COUNTIFS(JOURNAL!F:F,"11",JOURNAL!J:J,"OCDP",JOURNAL!O:O,"SL")</f>
        <v>0</v>
      </c>
      <c r="AF103" s="271"/>
      <c r="AG103" s="55" t="s">
        <v>29</v>
      </c>
      <c r="AH103" s="165">
        <f>COUNTIFS(JOURNAL!F:F,"11",JOURNAL!J:J,"TCDL",JOURNAL!O:O,"SL")</f>
        <v>0</v>
      </c>
      <c r="AI103" s="271"/>
      <c r="AJ103" s="55" t="s">
        <v>29</v>
      </c>
      <c r="AK103" s="165">
        <f>COUNTIFS(JOURNAL!F:F,"11",JOURNAL!J:J,"OCDL",JOURNAL!O:O,"SL")</f>
        <v>0</v>
      </c>
      <c r="AL103" s="271"/>
      <c r="AM103" s="55" t="s">
        <v>29</v>
      </c>
      <c r="AN103" s="165">
        <f>COUNTIFS(JOURNAL!F:F,"11",JOURNAL!J:J,"TCDW",JOURNAL!O:O,"SL")</f>
        <v>0</v>
      </c>
      <c r="AO103" s="271"/>
      <c r="AP103" s="55" t="s">
        <v>29</v>
      </c>
      <c r="AQ103" s="165">
        <f>COUNTIFS(JOURNAL!F:F,"11",JOURNAL!J:J,"OCDW",JOURNAL!O:O,"SL")</f>
        <v>0</v>
      </c>
      <c r="AR103" s="271"/>
      <c r="AS103" s="55" t="s">
        <v>29</v>
      </c>
      <c r="AT103" s="165">
        <f>COUNTIFS(JOURNAL!F:F,"11",JOURNAL!J:J,"TCDC",JOURNAL!O:O,"SL")</f>
        <v>0</v>
      </c>
      <c r="AU103" s="271"/>
      <c r="AV103" s="55" t="s">
        <v>29</v>
      </c>
      <c r="AW103" s="165">
        <f>COUNTIFS(JOURNAL!F:F,"11",JOURNAL!J:J,"OCDC",JOURNAL!O:O,"SL")</f>
        <v>0</v>
      </c>
      <c r="AX103" s="271"/>
      <c r="AY103" s="55" t="s">
        <v>29</v>
      </c>
      <c r="AZ103" s="165">
        <f>COUNTIFS(JOURNAL!F:F,"11",JOURNAL!J:J,"TCP",JOURNAL!O:O,"SL")</f>
        <v>0</v>
      </c>
      <c r="BA103" s="271"/>
      <c r="BB103" s="55" t="s">
        <v>29</v>
      </c>
      <c r="BC103" s="165">
        <f>COUNTIFS(JOURNAL!F:F,"11",JOURNAL!J:J,"OCP",JOURNAL!O:O,"SL")</f>
        <v>0</v>
      </c>
      <c r="BD103" s="271"/>
      <c r="BE103" s="55" t="s">
        <v>29</v>
      </c>
      <c r="BF103" s="165">
        <f>COUNTIFS(JOURNAL!F:F,"11",JOURNAL!J:J,"RE",JOURNAL!O:O,"SL")</f>
        <v>0</v>
      </c>
    </row>
    <row r="104" spans="25:58" ht="15.75" x14ac:dyDescent="0.25">
      <c r="Y104" s="273"/>
      <c r="Z104" s="271"/>
      <c r="AA104" s="56" t="s">
        <v>32</v>
      </c>
      <c r="AB104" s="165">
        <f>COUNTIFS(JOURNAL!F:F,"11",JOURNAL!J:J,"TCDP",JOURNAL!O:O,"RF")</f>
        <v>0</v>
      </c>
      <c r="AC104" s="271"/>
      <c r="AD104" s="56" t="s">
        <v>32</v>
      </c>
      <c r="AE104" s="165">
        <f>COUNTIFS(JOURNAL!F:F,"11",JOURNAL!J:J,"OCDP",JOURNAL!O:O,"RF")</f>
        <v>0</v>
      </c>
      <c r="AF104" s="271"/>
      <c r="AG104" s="56" t="s">
        <v>32</v>
      </c>
      <c r="AH104" s="165">
        <f>COUNTIFS(JOURNAL!F:F,"11",JOURNAL!J:J,"TCDL",JOURNAL!O:O,"RF")</f>
        <v>0</v>
      </c>
      <c r="AI104" s="271"/>
      <c r="AJ104" s="56" t="s">
        <v>32</v>
      </c>
      <c r="AK104" s="165">
        <f>COUNTIFS(JOURNAL!F:F,"11",JOURNAL!J:J,"OCDL",JOURNAL!O:O,"RF")</f>
        <v>0</v>
      </c>
      <c r="AL104" s="271"/>
      <c r="AM104" s="56" t="s">
        <v>32</v>
      </c>
      <c r="AN104" s="165">
        <f>COUNTIFS(JOURNAL!F:F,"11",JOURNAL!J:J,"TCDW",JOURNAL!O:O,"RF")</f>
        <v>0</v>
      </c>
      <c r="AO104" s="271"/>
      <c r="AP104" s="56" t="s">
        <v>32</v>
      </c>
      <c r="AQ104" s="165">
        <f>COUNTIFS(JOURNAL!F:F,"11",JOURNAL!J:J,"OCDW",JOURNAL!O:O,"RF")</f>
        <v>0</v>
      </c>
      <c r="AR104" s="271"/>
      <c r="AS104" s="56" t="s">
        <v>32</v>
      </c>
      <c r="AT104" s="165">
        <f>COUNTIFS(JOURNAL!F:F,"11",JOURNAL!J:J,"TCDC",JOURNAL!O:O,"RF")</f>
        <v>0</v>
      </c>
      <c r="AU104" s="271"/>
      <c r="AV104" s="56" t="s">
        <v>32</v>
      </c>
      <c r="AW104" s="165">
        <f>COUNTIFS(JOURNAL!F:F,"11",JOURNAL!J:J,"OCDC",JOURNAL!O:O,"RF")</f>
        <v>0</v>
      </c>
      <c r="AX104" s="271"/>
      <c r="AY104" s="56" t="s">
        <v>32</v>
      </c>
      <c r="AZ104" s="165">
        <f>COUNTIFS(JOURNAL!F:F,"11",JOURNAL!J:J,"TCP",JOURNAL!O:O,"RF")</f>
        <v>0</v>
      </c>
      <c r="BA104" s="271"/>
      <c r="BB104" s="56" t="s">
        <v>32</v>
      </c>
      <c r="BC104" s="165">
        <f>COUNTIFS(JOURNAL!F:F,"11",JOURNAL!J:J,"OCP",JOURNAL!O:O,"RF")</f>
        <v>0</v>
      </c>
      <c r="BD104" s="271"/>
      <c r="BE104" s="56" t="s">
        <v>32</v>
      </c>
      <c r="BF104" s="165">
        <f>COUNTIFS(JOURNAL!F:F,"11",JOURNAL!J:J,"RE",JOURNAL!O:O,"RF")</f>
        <v>0</v>
      </c>
    </row>
    <row r="105" spans="25:58" ht="15.75" x14ac:dyDescent="0.25">
      <c r="Y105" s="273"/>
      <c r="Z105" s="271"/>
      <c r="AA105" s="57" t="s">
        <v>30</v>
      </c>
      <c r="AB105" s="165">
        <f>COUNTIFS(JOURNAL!F:F,"11",JOURNAL!J:J,"TCDP",JOURNAL!O:O,"PS")</f>
        <v>0</v>
      </c>
      <c r="AC105" s="271"/>
      <c r="AD105" s="57" t="s">
        <v>30</v>
      </c>
      <c r="AE105" s="165">
        <f>COUNTIFS(JOURNAL!F:F,"11",JOURNAL!J:J,"OCDP",JOURNAL!O:O,"PS")</f>
        <v>0</v>
      </c>
      <c r="AF105" s="271"/>
      <c r="AG105" s="57" t="s">
        <v>30</v>
      </c>
      <c r="AH105" s="165">
        <f>COUNTIFS(JOURNAL!F:F,"11",JOURNAL!J:J,"TCDL",JOURNAL!O:O,"PS")</f>
        <v>0</v>
      </c>
      <c r="AI105" s="271"/>
      <c r="AJ105" s="57" t="s">
        <v>30</v>
      </c>
      <c r="AK105" s="165">
        <f>COUNTIFS(JOURNAL!F:F,"11",JOURNAL!J:J,"OCDL",JOURNAL!O:O,"PS")</f>
        <v>0</v>
      </c>
      <c r="AL105" s="271"/>
      <c r="AM105" s="57" t="s">
        <v>30</v>
      </c>
      <c r="AN105" s="165">
        <f>COUNTIFS(JOURNAL!F:F,"11",JOURNAL!J:J,"TCDW",JOURNAL!O:O,"PS")</f>
        <v>0</v>
      </c>
      <c r="AO105" s="271"/>
      <c r="AP105" s="57" t="s">
        <v>30</v>
      </c>
      <c r="AQ105" s="165">
        <f>COUNTIFS(JOURNAL!F:F,"11",JOURNAL!J:J,"OCDW",JOURNAL!O:O,"PS")</f>
        <v>0</v>
      </c>
      <c r="AR105" s="271"/>
      <c r="AS105" s="57" t="s">
        <v>30</v>
      </c>
      <c r="AT105" s="165">
        <f>COUNTIFS(JOURNAL!F:F,"11",JOURNAL!J:J,"TCDC",JOURNAL!O:O,"PS")</f>
        <v>0</v>
      </c>
      <c r="AU105" s="271"/>
      <c r="AV105" s="57" t="s">
        <v>30</v>
      </c>
      <c r="AW105" s="165">
        <f>COUNTIFS(JOURNAL!F:F,"11",JOURNAL!J:J,"OCDC",JOURNAL!O:O,"PS")</f>
        <v>0</v>
      </c>
      <c r="AX105" s="271"/>
      <c r="AY105" s="57" t="s">
        <v>30</v>
      </c>
      <c r="AZ105" s="165">
        <f>COUNTIFS(JOURNAL!F:F,"11",JOURNAL!J:J,"TCP",JOURNAL!O:O,"PS")</f>
        <v>0</v>
      </c>
      <c r="BA105" s="271"/>
      <c r="BB105" s="57" t="s">
        <v>30</v>
      </c>
      <c r="BC105" s="165">
        <f>COUNTIFS(JOURNAL!F:F,"11",JOURNAL!J:J,"OCP",JOURNAL!O:O,"PS")</f>
        <v>0</v>
      </c>
      <c r="BD105" s="271"/>
      <c r="BE105" s="57" t="s">
        <v>30</v>
      </c>
      <c r="BF105" s="165">
        <f>COUNTIFS(JOURNAL!F:F,"11",JOURNAL!J:J,"RE",JOURNAL!O:O,"PS")</f>
        <v>0</v>
      </c>
    </row>
    <row r="106" spans="25:58" ht="15.75" x14ac:dyDescent="0.25">
      <c r="Y106" s="273"/>
      <c r="Z106" s="271"/>
      <c r="AA106" s="58" t="s">
        <v>31</v>
      </c>
      <c r="AB106" s="165">
        <f>COUNTIFS(JOURNAL!F:F,"11",JOURNAL!J:J,"TCDP",JOURNAL!O:O,"LS")</f>
        <v>0</v>
      </c>
      <c r="AC106" s="271"/>
      <c r="AD106" s="58" t="s">
        <v>31</v>
      </c>
      <c r="AE106" s="165">
        <f>COUNTIFS(JOURNAL!F:F,"11",JOURNAL!J:J,"OCDP",JOURNAL!O:O,"LS")</f>
        <v>0</v>
      </c>
      <c r="AF106" s="271"/>
      <c r="AG106" s="58" t="s">
        <v>31</v>
      </c>
      <c r="AH106" s="165">
        <f>COUNTIFS(JOURNAL!F:F,"11",JOURNAL!J:J,"TCDL",JOURNAL!O:O,"LS")</f>
        <v>0</v>
      </c>
      <c r="AI106" s="271"/>
      <c r="AJ106" s="58" t="s">
        <v>31</v>
      </c>
      <c r="AK106" s="165">
        <f>COUNTIFS(JOURNAL!F:F,"11",JOURNAL!J:J,"OCDL",JOURNAL!O:O,"LS")</f>
        <v>0</v>
      </c>
      <c r="AL106" s="271"/>
      <c r="AM106" s="58" t="s">
        <v>31</v>
      </c>
      <c r="AN106" s="165">
        <f>COUNTIFS(JOURNAL!F:F,"11",JOURNAL!J:J,"TCDW",JOURNAL!O:O,"LS")</f>
        <v>0</v>
      </c>
      <c r="AO106" s="271"/>
      <c r="AP106" s="58" t="s">
        <v>31</v>
      </c>
      <c r="AQ106" s="165">
        <f>COUNTIFS(JOURNAL!F:F,"11",JOURNAL!J:J,"OCDW",JOURNAL!O:O,"LS")</f>
        <v>0</v>
      </c>
      <c r="AR106" s="271"/>
      <c r="AS106" s="58" t="s">
        <v>31</v>
      </c>
      <c r="AT106" s="165">
        <f>COUNTIFS(JOURNAL!F:F,"11",JOURNAL!J:J,"TCDC",JOURNAL!O:O,"LS")</f>
        <v>0</v>
      </c>
      <c r="AU106" s="271"/>
      <c r="AV106" s="58" t="s">
        <v>31</v>
      </c>
      <c r="AW106" s="165">
        <f>COUNTIFS(JOURNAL!F:F,"11",JOURNAL!J:J,"OCDC",JOURNAL!O:O,"LS")</f>
        <v>0</v>
      </c>
      <c r="AX106" s="271"/>
      <c r="AY106" s="58" t="s">
        <v>31</v>
      </c>
      <c r="AZ106" s="165">
        <f>COUNTIFS(JOURNAL!F:F,"11",JOURNAL!J:J,"TCP",JOURNAL!O:O,"LS")</f>
        <v>0</v>
      </c>
      <c r="BA106" s="271"/>
      <c r="BB106" s="58" t="s">
        <v>31</v>
      </c>
      <c r="BC106" s="165">
        <f>COUNTIFS(JOURNAL!F:F,"11",JOURNAL!J:J,"OCP",JOURNAL!O:O,"LS")</f>
        <v>0</v>
      </c>
      <c r="BD106" s="271"/>
      <c r="BE106" s="58" t="s">
        <v>31</v>
      </c>
      <c r="BF106" s="165">
        <f>COUNTIFS(JOURNAL!F:F,"11",JOURNAL!J:J,"RE",JOURNAL!O:O,"LS")</f>
        <v>0</v>
      </c>
    </row>
    <row r="107" spans="25:58" ht="15.75" x14ac:dyDescent="0.25">
      <c r="Y107" s="273"/>
      <c r="Z107" s="271"/>
      <c r="AA107" s="59" t="s">
        <v>33</v>
      </c>
      <c r="AB107" s="165">
        <f>COUNTIFS(JOURNAL!F:F,"11",JOURNAL!J:J,"TCDP",JOURNAL!O:O,"OT +")</f>
        <v>0</v>
      </c>
      <c r="AC107" s="271"/>
      <c r="AD107" s="59" t="s">
        <v>33</v>
      </c>
      <c r="AE107" s="165">
        <f>COUNTIFS(JOURNAL!F:F,"11",JOURNAL!J:J,"OCDP",JOURNAL!O:O,"OT +")</f>
        <v>0</v>
      </c>
      <c r="AF107" s="271"/>
      <c r="AG107" s="59" t="s">
        <v>33</v>
      </c>
      <c r="AH107" s="165">
        <f>COUNTIFS(JOURNAL!F:F,"11",JOURNAL!J:J,"TCDL",JOURNAL!O:O,"OT +")</f>
        <v>0</v>
      </c>
      <c r="AI107" s="271"/>
      <c r="AJ107" s="59" t="s">
        <v>33</v>
      </c>
      <c r="AK107" s="165">
        <f>COUNTIFS(JOURNAL!F:F,"11",JOURNAL!J:J,"OCDL",JOURNAL!O:O,"OT  +")</f>
        <v>0</v>
      </c>
      <c r="AL107" s="271"/>
      <c r="AM107" s="59" t="s">
        <v>33</v>
      </c>
      <c r="AN107" s="165">
        <f>COUNTIFS(JOURNAL!F:F,"11",JOURNAL!J:J,"TCDW",JOURNAL!O:O,"OT +")</f>
        <v>0</v>
      </c>
      <c r="AO107" s="271"/>
      <c r="AP107" s="59" t="s">
        <v>33</v>
      </c>
      <c r="AQ107" s="165">
        <f>COUNTIFS(JOURNAL!F:F,"11",JOURNAL!J:J,"OCDW",JOURNAL!O:O,"OT +")</f>
        <v>0</v>
      </c>
      <c r="AR107" s="271"/>
      <c r="AS107" s="59" t="s">
        <v>33</v>
      </c>
      <c r="AT107" s="165">
        <f>COUNTIFS(JOURNAL!F:F,"11",JOURNAL!J:J,"TCDC",JOURNAL!O:O,"OT +")</f>
        <v>0</v>
      </c>
      <c r="AU107" s="271"/>
      <c r="AV107" s="59" t="s">
        <v>33</v>
      </c>
      <c r="AW107" s="165">
        <f>COUNTIFS(JOURNAL!F:F,"11",JOURNAL!J:J,"OCDC",JOURNAL!O:O,"OT +")</f>
        <v>0</v>
      </c>
      <c r="AX107" s="271"/>
      <c r="AY107" s="59" t="s">
        <v>33</v>
      </c>
      <c r="AZ107" s="165">
        <f>COUNTIFS(JOURNAL!F:F,"11",JOURNAL!J:J,"TCP",JOURNAL!O:O,"OT +")</f>
        <v>0</v>
      </c>
      <c r="BA107" s="271"/>
      <c r="BB107" s="59" t="s">
        <v>33</v>
      </c>
      <c r="BC107" s="165">
        <f>COUNTIFS(JOURNAL!F:F,"11",JOURNAL!J:J,"OCP",JOURNAL!O:O,"OT +")</f>
        <v>0</v>
      </c>
      <c r="BD107" s="271"/>
      <c r="BE107" s="59" t="s">
        <v>33</v>
      </c>
      <c r="BF107" s="165">
        <f>COUNTIFS(JOURNAL!F:F,"11",JOURNAL!J:J,"RE",JOURNAL!O:O,"OT +")</f>
        <v>0</v>
      </c>
    </row>
    <row r="108" spans="25:58" ht="15.75" x14ac:dyDescent="0.25">
      <c r="Y108" s="273"/>
      <c r="Z108" s="271"/>
      <c r="AA108" s="60" t="s">
        <v>34</v>
      </c>
      <c r="AB108" s="165">
        <f>COUNTIFS(JOURNAL!F:F,"11",JOURNAL!J:J,"TCDP",JOURNAL!O:O,"OT -")</f>
        <v>0</v>
      </c>
      <c r="AC108" s="271"/>
      <c r="AD108" s="60" t="s">
        <v>34</v>
      </c>
      <c r="AE108" s="165">
        <f>COUNTIFS(JOURNAL!F:F,"11",JOURNAL!J:J,"OCDP",JOURNAL!O:O,"OT -")</f>
        <v>0</v>
      </c>
      <c r="AF108" s="271"/>
      <c r="AG108" s="60" t="s">
        <v>34</v>
      </c>
      <c r="AH108" s="165">
        <f>COUNTIFS(JOURNAL!F:F,"11",JOURNAL!J:J,"TCDL",JOURNAL!O:O,"OT -")</f>
        <v>0</v>
      </c>
      <c r="AI108" s="271"/>
      <c r="AJ108" s="60" t="s">
        <v>34</v>
      </c>
      <c r="AK108" s="165">
        <f>COUNTIFS(JOURNAL!F:F,"11",JOURNAL!J:J,"OCDL",JOURNAL!O:O,"OT -")</f>
        <v>0</v>
      </c>
      <c r="AL108" s="271"/>
      <c r="AM108" s="60" t="s">
        <v>34</v>
      </c>
      <c r="AN108" s="165">
        <f>COUNTIFS(JOURNAL!F:F,"11",JOURNAL!J:J,"TCDW",JOURNAL!O:O,"OT -")</f>
        <v>0</v>
      </c>
      <c r="AO108" s="271"/>
      <c r="AP108" s="60" t="s">
        <v>34</v>
      </c>
      <c r="AQ108" s="165">
        <f>COUNTIFS(JOURNAL!F:F,"11",JOURNAL!J:J,"OCDW",JOURNAL!O:O,"OT -")</f>
        <v>0</v>
      </c>
      <c r="AR108" s="271"/>
      <c r="AS108" s="60" t="s">
        <v>34</v>
      </c>
      <c r="AT108" s="165">
        <f>COUNTIFS(JOURNAL!F:F,"11",JOURNAL!J:J,"TCDC",JOURNAL!O:O,"OT -")</f>
        <v>0</v>
      </c>
      <c r="AU108" s="271"/>
      <c r="AV108" s="60" t="s">
        <v>34</v>
      </c>
      <c r="AW108" s="165">
        <f>COUNTIFS(JOURNAL!F:F,"11",JOURNAL!J:J,"OCDC",JOURNAL!O:O,"OT -")</f>
        <v>0</v>
      </c>
      <c r="AX108" s="271"/>
      <c r="AY108" s="60" t="s">
        <v>34</v>
      </c>
      <c r="AZ108" s="165">
        <f>COUNTIFS(JOURNAL!F:F,"11",JOURNAL!J:J,"TCP",JOURNAL!O:O,"OT -")</f>
        <v>0</v>
      </c>
      <c r="BA108" s="271"/>
      <c r="BB108" s="60" t="s">
        <v>34</v>
      </c>
      <c r="BC108" s="165">
        <f>COUNTIFS(JOURNAL!F:F,"11",JOURNAL!J:J,"OCP",JOURNAL!O:O,"OT -")</f>
        <v>0</v>
      </c>
      <c r="BD108" s="271"/>
      <c r="BE108" s="60" t="s">
        <v>34</v>
      </c>
      <c r="BF108" s="165">
        <f>COUNTIFS(JOURNAL!F:F,"11",JOURNAL!J:J,"RE",JOURNAL!O:O,"OT -")</f>
        <v>0</v>
      </c>
    </row>
    <row r="109" spans="25:58" ht="15.75" x14ac:dyDescent="0.25">
      <c r="Y109" s="273"/>
      <c r="Z109" s="271"/>
      <c r="AA109" s="25" t="s">
        <v>115</v>
      </c>
      <c r="AB109" s="166">
        <f>SUM(AB102:AB108)</f>
        <v>0</v>
      </c>
      <c r="AC109" s="271"/>
      <c r="AD109" s="25" t="s">
        <v>115</v>
      </c>
      <c r="AE109" s="166">
        <f>SUM(AE102:AE108)</f>
        <v>0</v>
      </c>
      <c r="AF109" s="271"/>
      <c r="AG109" s="25" t="s">
        <v>115</v>
      </c>
      <c r="AH109" s="166">
        <f>SUM(AH102:AH108)</f>
        <v>0</v>
      </c>
      <c r="AI109" s="271"/>
      <c r="AJ109" s="25" t="s">
        <v>115</v>
      </c>
      <c r="AK109" s="166">
        <f>SUM(AK102:AK108)</f>
        <v>0</v>
      </c>
      <c r="AL109" s="271"/>
      <c r="AM109" s="25" t="s">
        <v>115</v>
      </c>
      <c r="AN109" s="166">
        <f>SUM(AN102:AN108)</f>
        <v>0</v>
      </c>
      <c r="AO109" s="271"/>
      <c r="AP109" s="25" t="s">
        <v>115</v>
      </c>
      <c r="AQ109" s="166">
        <f>SUM(AQ102:AQ108)</f>
        <v>0</v>
      </c>
      <c r="AR109" s="271"/>
      <c r="AS109" s="25" t="s">
        <v>115</v>
      </c>
      <c r="AT109" s="166">
        <f>SUM(AT102:AT108)</f>
        <v>0</v>
      </c>
      <c r="AU109" s="271"/>
      <c r="AV109" s="25" t="s">
        <v>115</v>
      </c>
      <c r="AW109" s="166">
        <f>SUM(AW102:AW108)</f>
        <v>0</v>
      </c>
      <c r="AX109" s="271"/>
      <c r="AY109" s="25" t="s">
        <v>115</v>
      </c>
      <c r="AZ109" s="166">
        <f>SUM(AZ102:AZ108)</f>
        <v>0</v>
      </c>
      <c r="BA109" s="271"/>
      <c r="BB109" s="25" t="s">
        <v>115</v>
      </c>
      <c r="BC109" s="166">
        <f>SUM(BC102:BC108)</f>
        <v>0</v>
      </c>
      <c r="BD109" s="271"/>
      <c r="BE109" s="25" t="s">
        <v>115</v>
      </c>
      <c r="BF109" s="166">
        <f>SUM(BF102:BF108)</f>
        <v>0</v>
      </c>
    </row>
    <row r="110" spans="25:58" ht="15.75" x14ac:dyDescent="0.25">
      <c r="Y110" s="273"/>
      <c r="Z110" s="272"/>
      <c r="AA110" s="29" t="s">
        <v>44</v>
      </c>
      <c r="AB110" s="164" t="e">
        <f>SUM(AB102,AB104,AB105,AB107)/AB109</f>
        <v>#DIV/0!</v>
      </c>
      <c r="AC110" s="272"/>
      <c r="AD110" s="29" t="s">
        <v>44</v>
      </c>
      <c r="AE110" s="164" t="e">
        <f>SUM(AE102,AE104,AE105,AE107)/AE109</f>
        <v>#DIV/0!</v>
      </c>
      <c r="AF110" s="272"/>
      <c r="AG110" s="29" t="s">
        <v>44</v>
      </c>
      <c r="AH110" s="164" t="e">
        <f>SUM(AH102,AH104,AH105,AH107)/AH109</f>
        <v>#DIV/0!</v>
      </c>
      <c r="AI110" s="272"/>
      <c r="AJ110" s="29" t="s">
        <v>44</v>
      </c>
      <c r="AK110" s="164" t="e">
        <f>SUM(AK102,AK104,AK105,AK107)/AK109</f>
        <v>#DIV/0!</v>
      </c>
      <c r="AL110" s="272"/>
      <c r="AM110" s="29" t="s">
        <v>44</v>
      </c>
      <c r="AN110" s="164" t="e">
        <f>SUM(AN102,AN104,AN105,AN107)/AN109</f>
        <v>#DIV/0!</v>
      </c>
      <c r="AO110" s="272"/>
      <c r="AP110" s="29" t="s">
        <v>44</v>
      </c>
      <c r="AQ110" s="164" t="e">
        <f>SUM(AQ102,AQ104,AQ105,AQ107)/AQ109</f>
        <v>#DIV/0!</v>
      </c>
      <c r="AR110" s="272"/>
      <c r="AS110" s="29" t="s">
        <v>44</v>
      </c>
      <c r="AT110" s="164" t="e">
        <f>SUM(AT102,AT104,AT105,AT107)/AT109</f>
        <v>#DIV/0!</v>
      </c>
      <c r="AU110" s="272"/>
      <c r="AV110" s="29" t="s">
        <v>44</v>
      </c>
      <c r="AW110" s="164" t="e">
        <f>SUM(AW102,AW104,AW105,AW107)/AW109</f>
        <v>#DIV/0!</v>
      </c>
      <c r="AX110" s="272"/>
      <c r="AY110" s="29" t="s">
        <v>44</v>
      </c>
      <c r="AZ110" s="164" t="e">
        <f>SUM(AZ102,AZ104,AZ105,AZ107)/AZ109</f>
        <v>#DIV/0!</v>
      </c>
      <c r="BA110" s="272"/>
      <c r="BB110" s="29" t="s">
        <v>44</v>
      </c>
      <c r="BC110" s="164" t="e">
        <f>SUM(BC102,BC104,BC105,BC107)/BC109</f>
        <v>#DIV/0!</v>
      </c>
      <c r="BD110" s="272"/>
      <c r="BE110" s="29" t="s">
        <v>44</v>
      </c>
      <c r="BF110" s="164" t="e">
        <f>SUM(BF102,BF104,BF105,BF107)/BF109</f>
        <v>#DIV/0!</v>
      </c>
    </row>
    <row r="112" spans="25:58" ht="15.75" customHeight="1" x14ac:dyDescent="0.25">
      <c r="Y112" s="273" t="s">
        <v>79</v>
      </c>
      <c r="Z112" s="270" t="s">
        <v>6</v>
      </c>
      <c r="AA112" s="54" t="s">
        <v>27</v>
      </c>
      <c r="AB112" s="165">
        <f>COUNTIFS(JOURNAL!F:F,"12",JOURNAL!J:J,"TCDP",JOURNAL!O:O,"TP")</f>
        <v>0</v>
      </c>
      <c r="AC112" s="270" t="s">
        <v>7</v>
      </c>
      <c r="AD112" s="54" t="s">
        <v>27</v>
      </c>
      <c r="AE112" s="165">
        <f>COUNTIFS(JOURNAL!F:F,"12",JOURNAL!J:J,"OCDP",JOURNAL!O:O,"TP")</f>
        <v>0</v>
      </c>
      <c r="AF112" s="270" t="s">
        <v>9</v>
      </c>
      <c r="AG112" s="54" t="s">
        <v>27</v>
      </c>
      <c r="AH112" s="165">
        <f>COUNTIFS(JOURNAL!F:F,"12",JOURNAL!J:J,"TCDL",JOURNAL!O:O,"TP")</f>
        <v>0</v>
      </c>
      <c r="AI112" s="270" t="s">
        <v>10</v>
      </c>
      <c r="AJ112" s="54" t="s">
        <v>27</v>
      </c>
      <c r="AK112" s="165">
        <f>COUNTIFS(JOURNAL!F:F,"12",JOURNAL!J:J,"OCDL",JOURNAL!O:O,"TP")</f>
        <v>0</v>
      </c>
      <c r="AL112" s="270" t="s">
        <v>8</v>
      </c>
      <c r="AM112" s="54" t="s">
        <v>27</v>
      </c>
      <c r="AN112" s="165">
        <f>COUNTIFS(JOURNAL!F:F,"12",JOURNAL!J:J,"TCDW",JOURNAL!O:O,"TP")</f>
        <v>0</v>
      </c>
      <c r="AO112" s="270" t="s">
        <v>11</v>
      </c>
      <c r="AP112" s="54" t="s">
        <v>27</v>
      </c>
      <c r="AQ112" s="165">
        <f>COUNTIFS(JOURNAL!F:F,"12",JOURNAL!J:J,"OCDW",JOURNAL!O:O,"TP")</f>
        <v>0</v>
      </c>
      <c r="AR112" s="270" t="s">
        <v>12</v>
      </c>
      <c r="AS112" s="54" t="s">
        <v>27</v>
      </c>
      <c r="AT112" s="165">
        <f>COUNTIFS(JOURNAL!F:F,"12",JOURNAL!J:J,"TCDC",JOURNAL!O:O,"TP")</f>
        <v>0</v>
      </c>
      <c r="AU112" s="270" t="s">
        <v>13</v>
      </c>
      <c r="AV112" s="54" t="s">
        <v>27</v>
      </c>
      <c r="AW112" s="165">
        <f>COUNTIFS(JOURNAL!F:F,"12",JOURNAL!J:J,"OCDC",JOURNAL!O:O,"TP")</f>
        <v>0</v>
      </c>
      <c r="AX112" s="270" t="s">
        <v>14</v>
      </c>
      <c r="AY112" s="54" t="s">
        <v>27</v>
      </c>
      <c r="AZ112" s="165">
        <f>COUNTIFS(JOURNAL!F:F,"12",JOURNAL!J:J,"TCP",JOURNAL!O:O,"TP")</f>
        <v>0</v>
      </c>
      <c r="BA112" s="270" t="s">
        <v>15</v>
      </c>
      <c r="BB112" s="54" t="s">
        <v>27</v>
      </c>
      <c r="BC112" s="165">
        <f>COUNTIFS(JOURNAL!F:F,"12",JOURNAL!J:J,"OCP",JOURNAL!O:O,"TP")</f>
        <v>0</v>
      </c>
      <c r="BD112" s="270" t="s">
        <v>16</v>
      </c>
      <c r="BE112" s="54" t="s">
        <v>27</v>
      </c>
      <c r="BF112" s="165">
        <f>COUNTIFS(JOURNAL!F:F,"12",JOURNAL!J:J,"RE",JOURNAL!O:O,"TP")</f>
        <v>0</v>
      </c>
    </row>
    <row r="113" spans="25:58" ht="15.75" x14ac:dyDescent="0.25">
      <c r="Y113" s="273"/>
      <c r="Z113" s="271"/>
      <c r="AA113" s="55" t="s">
        <v>29</v>
      </c>
      <c r="AB113" s="165">
        <f>COUNTIFS(JOURNAL!F:F,"12",JOURNAL!J:J,"TCDP",JOURNAL!O:O,"SL")</f>
        <v>0</v>
      </c>
      <c r="AC113" s="271"/>
      <c r="AD113" s="55" t="s">
        <v>29</v>
      </c>
      <c r="AE113" s="165">
        <f>COUNTIFS(JOURNAL!F:F,"12",JOURNAL!J:J,"OCDP",JOURNAL!O:O,"SL")</f>
        <v>0</v>
      </c>
      <c r="AF113" s="271"/>
      <c r="AG113" s="55" t="s">
        <v>29</v>
      </c>
      <c r="AH113" s="165">
        <f>COUNTIFS(JOURNAL!F:F,"12",JOURNAL!J:J,"TCDL",JOURNAL!O:O,"SL")</f>
        <v>0</v>
      </c>
      <c r="AI113" s="271"/>
      <c r="AJ113" s="55" t="s">
        <v>29</v>
      </c>
      <c r="AK113" s="165">
        <f>COUNTIFS(JOURNAL!F:F,"12",JOURNAL!J:J,"OCDL",JOURNAL!O:O,"SL")</f>
        <v>0</v>
      </c>
      <c r="AL113" s="271"/>
      <c r="AM113" s="55" t="s">
        <v>29</v>
      </c>
      <c r="AN113" s="165">
        <f>COUNTIFS(JOURNAL!F:F,"12",JOURNAL!J:J,"TCDW",JOURNAL!O:O,"SL")</f>
        <v>0</v>
      </c>
      <c r="AO113" s="271"/>
      <c r="AP113" s="55" t="s">
        <v>29</v>
      </c>
      <c r="AQ113" s="165">
        <f>COUNTIFS(JOURNAL!F:F,"12",JOURNAL!J:J,"OCDW",JOURNAL!O:O,"SL")</f>
        <v>0</v>
      </c>
      <c r="AR113" s="271"/>
      <c r="AS113" s="55" t="s">
        <v>29</v>
      </c>
      <c r="AT113" s="165">
        <f>COUNTIFS(JOURNAL!F:F,"12",JOURNAL!J:J,"TCDC",JOURNAL!O:O,"SL")</f>
        <v>0</v>
      </c>
      <c r="AU113" s="271"/>
      <c r="AV113" s="55" t="s">
        <v>29</v>
      </c>
      <c r="AW113" s="165">
        <f>COUNTIFS(JOURNAL!F:F,"12",JOURNAL!J:J,"OCDC",JOURNAL!O:O,"SL")</f>
        <v>0</v>
      </c>
      <c r="AX113" s="271"/>
      <c r="AY113" s="55" t="s">
        <v>29</v>
      </c>
      <c r="AZ113" s="165">
        <f>COUNTIFS(JOURNAL!F:F,"12",JOURNAL!J:J,"TCP",JOURNAL!O:O,"SL")</f>
        <v>0</v>
      </c>
      <c r="BA113" s="271"/>
      <c r="BB113" s="55" t="s">
        <v>29</v>
      </c>
      <c r="BC113" s="165">
        <f>COUNTIFS(JOURNAL!F:F,"12",JOURNAL!J:J,"OCP",JOURNAL!O:O,"SL")</f>
        <v>0</v>
      </c>
      <c r="BD113" s="271"/>
      <c r="BE113" s="55" t="s">
        <v>29</v>
      </c>
      <c r="BF113" s="165">
        <f>COUNTIFS(JOURNAL!F:F,"12",JOURNAL!J:J,"RE",JOURNAL!O:O,"SL")</f>
        <v>0</v>
      </c>
    </row>
    <row r="114" spans="25:58" ht="15.75" x14ac:dyDescent="0.25">
      <c r="Y114" s="273"/>
      <c r="Z114" s="271"/>
      <c r="AA114" s="56" t="s">
        <v>32</v>
      </c>
      <c r="AB114" s="165">
        <f>COUNTIFS(JOURNAL!F:F,"12",JOURNAL!J:J,"TCDP",JOURNAL!O:O,"RF")</f>
        <v>0</v>
      </c>
      <c r="AC114" s="271"/>
      <c r="AD114" s="56" t="s">
        <v>32</v>
      </c>
      <c r="AE114" s="165">
        <f>COUNTIFS(JOURNAL!F:F,"12",JOURNAL!J:J,"OCDP",JOURNAL!O:O,"RF")</f>
        <v>0</v>
      </c>
      <c r="AF114" s="271"/>
      <c r="AG114" s="56" t="s">
        <v>32</v>
      </c>
      <c r="AH114" s="165">
        <f>COUNTIFS(JOURNAL!F:F,"12",JOURNAL!J:J,"TCDL",JOURNAL!O:O,"RF")</f>
        <v>0</v>
      </c>
      <c r="AI114" s="271"/>
      <c r="AJ114" s="56" t="s">
        <v>32</v>
      </c>
      <c r="AK114" s="165">
        <f>COUNTIFS(JOURNAL!F:F,"12",JOURNAL!J:J,"OCDL",JOURNAL!O:O,"RF")</f>
        <v>0</v>
      </c>
      <c r="AL114" s="271"/>
      <c r="AM114" s="56" t="s">
        <v>32</v>
      </c>
      <c r="AN114" s="165">
        <f>COUNTIFS(JOURNAL!F:F,"12",JOURNAL!J:J,"TCDW",JOURNAL!O:O,"RF")</f>
        <v>0</v>
      </c>
      <c r="AO114" s="271"/>
      <c r="AP114" s="56" t="s">
        <v>32</v>
      </c>
      <c r="AQ114" s="165">
        <f>COUNTIFS(JOURNAL!F:F,"12",JOURNAL!J:J,"OCDW",JOURNAL!O:O,"RF")</f>
        <v>0</v>
      </c>
      <c r="AR114" s="271"/>
      <c r="AS114" s="56" t="s">
        <v>32</v>
      </c>
      <c r="AT114" s="165">
        <f>COUNTIFS(JOURNAL!F:F,"12",JOURNAL!J:J,"TCDC",JOURNAL!O:O,"RF")</f>
        <v>0</v>
      </c>
      <c r="AU114" s="271"/>
      <c r="AV114" s="56" t="s">
        <v>32</v>
      </c>
      <c r="AW114" s="165">
        <f>COUNTIFS(JOURNAL!F:F,"12",JOURNAL!J:J,"OCDC",JOURNAL!O:O,"RF")</f>
        <v>0</v>
      </c>
      <c r="AX114" s="271"/>
      <c r="AY114" s="56" t="s">
        <v>32</v>
      </c>
      <c r="AZ114" s="165">
        <f>COUNTIFS(JOURNAL!F:F,"12",JOURNAL!J:J,"TCP",JOURNAL!O:O,"RF")</f>
        <v>0</v>
      </c>
      <c r="BA114" s="271"/>
      <c r="BB114" s="56" t="s">
        <v>32</v>
      </c>
      <c r="BC114" s="165">
        <f>COUNTIFS(JOURNAL!F:F,"12",JOURNAL!J:J,"OCP",JOURNAL!O:O,"RF")</f>
        <v>0</v>
      </c>
      <c r="BD114" s="271"/>
      <c r="BE114" s="56" t="s">
        <v>32</v>
      </c>
      <c r="BF114" s="165">
        <f>COUNTIFS(JOURNAL!F:F,"12",JOURNAL!J:J,"RE",JOURNAL!O:O,"RF")</f>
        <v>0</v>
      </c>
    </row>
    <row r="115" spans="25:58" ht="15.75" x14ac:dyDescent="0.25">
      <c r="Y115" s="273"/>
      <c r="Z115" s="271"/>
      <c r="AA115" s="57" t="s">
        <v>30</v>
      </c>
      <c r="AB115" s="165">
        <f>COUNTIFS(JOURNAL!F:F,"12",JOURNAL!J:J,"TCDP",JOURNAL!O:O,"PS")</f>
        <v>0</v>
      </c>
      <c r="AC115" s="271"/>
      <c r="AD115" s="57" t="s">
        <v>30</v>
      </c>
      <c r="AE115" s="165">
        <f>COUNTIFS(JOURNAL!F:F,"12",JOURNAL!J:J,"OCDP",JOURNAL!O:O,"PS")</f>
        <v>0</v>
      </c>
      <c r="AF115" s="271"/>
      <c r="AG115" s="57" t="s">
        <v>30</v>
      </c>
      <c r="AH115" s="165">
        <f>COUNTIFS(JOURNAL!F:F,"12",JOURNAL!J:J,"TCDL",JOURNAL!O:O,"PS")</f>
        <v>0</v>
      </c>
      <c r="AI115" s="271"/>
      <c r="AJ115" s="57" t="s">
        <v>30</v>
      </c>
      <c r="AK115" s="165">
        <f>COUNTIFS(JOURNAL!F:F,"12",JOURNAL!J:J,"OCDL",JOURNAL!O:O,"PS")</f>
        <v>0</v>
      </c>
      <c r="AL115" s="271"/>
      <c r="AM115" s="57" t="s">
        <v>30</v>
      </c>
      <c r="AN115" s="165">
        <f>COUNTIFS(JOURNAL!F:F,"12",JOURNAL!J:J,"TCDW",JOURNAL!O:O,"PS")</f>
        <v>0</v>
      </c>
      <c r="AO115" s="271"/>
      <c r="AP115" s="57" t="s">
        <v>30</v>
      </c>
      <c r="AQ115" s="165">
        <f>COUNTIFS(JOURNAL!F:F,"12",JOURNAL!J:J,"OCDW",JOURNAL!O:O,"PS")</f>
        <v>0</v>
      </c>
      <c r="AR115" s="271"/>
      <c r="AS115" s="57" t="s">
        <v>30</v>
      </c>
      <c r="AT115" s="165">
        <f>COUNTIFS(JOURNAL!F:F,"12",JOURNAL!J:J,"TCDC",JOURNAL!O:O,"PS")</f>
        <v>0</v>
      </c>
      <c r="AU115" s="271"/>
      <c r="AV115" s="57" t="s">
        <v>30</v>
      </c>
      <c r="AW115" s="165">
        <f>COUNTIFS(JOURNAL!F:F,"12",JOURNAL!J:J,"OCDC",JOURNAL!O:O,"PS")</f>
        <v>0</v>
      </c>
      <c r="AX115" s="271"/>
      <c r="AY115" s="57" t="s">
        <v>30</v>
      </c>
      <c r="AZ115" s="165">
        <f>COUNTIFS(JOURNAL!F:F,"12",JOURNAL!J:J,"TCP",JOURNAL!O:O,"PS")</f>
        <v>0</v>
      </c>
      <c r="BA115" s="271"/>
      <c r="BB115" s="57" t="s">
        <v>30</v>
      </c>
      <c r="BC115" s="165">
        <f>COUNTIFS(JOURNAL!F:F,"12",JOURNAL!J:J,"OCP",JOURNAL!O:O,"PS")</f>
        <v>0</v>
      </c>
      <c r="BD115" s="271"/>
      <c r="BE115" s="57" t="s">
        <v>30</v>
      </c>
      <c r="BF115" s="165">
        <f>COUNTIFS(JOURNAL!F:F,"12",JOURNAL!J:J,"RE",JOURNAL!O:O,"PS")</f>
        <v>0</v>
      </c>
    </row>
    <row r="116" spans="25:58" ht="15.75" x14ac:dyDescent="0.25">
      <c r="Y116" s="273"/>
      <c r="Z116" s="271"/>
      <c r="AA116" s="58" t="s">
        <v>31</v>
      </c>
      <c r="AB116" s="165">
        <f>COUNTIFS(JOURNAL!F:F,"12",JOURNAL!J:J,"TCDP",JOURNAL!O:O,"LS")</f>
        <v>0</v>
      </c>
      <c r="AC116" s="271"/>
      <c r="AD116" s="58" t="s">
        <v>31</v>
      </c>
      <c r="AE116" s="165">
        <f>COUNTIFS(JOURNAL!F:F,"12",JOURNAL!J:J,"OCDP",JOURNAL!O:O,"LS")</f>
        <v>0</v>
      </c>
      <c r="AF116" s="271"/>
      <c r="AG116" s="58" t="s">
        <v>31</v>
      </c>
      <c r="AH116" s="165">
        <f>COUNTIFS(JOURNAL!F:F,"12",JOURNAL!J:J,"TCDL",JOURNAL!O:O,"LS")</f>
        <v>0</v>
      </c>
      <c r="AI116" s="271"/>
      <c r="AJ116" s="58" t="s">
        <v>31</v>
      </c>
      <c r="AK116" s="165">
        <f>COUNTIFS(JOURNAL!F:F,"12",JOURNAL!J:J,"OCDL",JOURNAL!O:O,"LS")</f>
        <v>0</v>
      </c>
      <c r="AL116" s="271"/>
      <c r="AM116" s="58" t="s">
        <v>31</v>
      </c>
      <c r="AN116" s="165">
        <f>COUNTIFS(JOURNAL!F:F,"12",JOURNAL!J:J,"TCDW",JOURNAL!O:O,"LS")</f>
        <v>0</v>
      </c>
      <c r="AO116" s="271"/>
      <c r="AP116" s="58" t="s">
        <v>31</v>
      </c>
      <c r="AQ116" s="165">
        <f>COUNTIFS(JOURNAL!F:F,"12",JOURNAL!J:J,"OCDW",JOURNAL!O:O,"LS")</f>
        <v>0</v>
      </c>
      <c r="AR116" s="271"/>
      <c r="AS116" s="58" t="s">
        <v>31</v>
      </c>
      <c r="AT116" s="165">
        <f>COUNTIFS(JOURNAL!F:F,"12",JOURNAL!J:J,"TCDC",JOURNAL!O:O,"LS")</f>
        <v>0</v>
      </c>
      <c r="AU116" s="271"/>
      <c r="AV116" s="58" t="s">
        <v>31</v>
      </c>
      <c r="AW116" s="165">
        <f>COUNTIFS(JOURNAL!F:F,"12",JOURNAL!J:J,"OCDC",JOURNAL!O:O,"LS")</f>
        <v>0</v>
      </c>
      <c r="AX116" s="271"/>
      <c r="AY116" s="58" t="s">
        <v>31</v>
      </c>
      <c r="AZ116" s="165">
        <f>COUNTIFS(JOURNAL!F:F,"12",JOURNAL!J:J,"TCP",JOURNAL!O:O,"LS")</f>
        <v>0</v>
      </c>
      <c r="BA116" s="271"/>
      <c r="BB116" s="58" t="s">
        <v>31</v>
      </c>
      <c r="BC116" s="165">
        <f>COUNTIFS(JOURNAL!F:F,"12",JOURNAL!J:J,"OCP",JOURNAL!O:O,"LS")</f>
        <v>0</v>
      </c>
      <c r="BD116" s="271"/>
      <c r="BE116" s="58" t="s">
        <v>31</v>
      </c>
      <c r="BF116" s="165">
        <f>COUNTIFS(JOURNAL!F:F,"12",JOURNAL!J:J,"RE",JOURNAL!O:O,"LS")</f>
        <v>0</v>
      </c>
    </row>
    <row r="117" spans="25:58" ht="15.75" x14ac:dyDescent="0.25">
      <c r="Y117" s="273"/>
      <c r="Z117" s="271"/>
      <c r="AA117" s="59" t="s">
        <v>33</v>
      </c>
      <c r="AB117" s="165">
        <f>COUNTIFS(JOURNAL!F:F,"12",JOURNAL!J:J,"TCDP",JOURNAL!O:O,"OT +")</f>
        <v>0</v>
      </c>
      <c r="AC117" s="271"/>
      <c r="AD117" s="59" t="s">
        <v>33</v>
      </c>
      <c r="AE117" s="165">
        <f>COUNTIFS(JOURNAL!F:F,"12",JOURNAL!J:J,"OCDP",JOURNAL!O:O,"OT +")</f>
        <v>0</v>
      </c>
      <c r="AF117" s="271"/>
      <c r="AG117" s="59" t="s">
        <v>33</v>
      </c>
      <c r="AH117" s="165">
        <f>COUNTIFS(JOURNAL!F:F,"12",JOURNAL!J:J,"TCDL",JOURNAL!O:O,"OT +")</f>
        <v>0</v>
      </c>
      <c r="AI117" s="271"/>
      <c r="AJ117" s="59" t="s">
        <v>33</v>
      </c>
      <c r="AK117" s="165">
        <f>COUNTIFS(JOURNAL!F:F,"12",JOURNAL!J:J,"OCDL",JOURNAL!O:O,"OT  +")</f>
        <v>0</v>
      </c>
      <c r="AL117" s="271"/>
      <c r="AM117" s="59" t="s">
        <v>33</v>
      </c>
      <c r="AN117" s="165">
        <f>COUNTIFS(JOURNAL!F:F,"12",JOURNAL!J:J,"TCDW",JOURNAL!O:O,"OT +")</f>
        <v>0</v>
      </c>
      <c r="AO117" s="271"/>
      <c r="AP117" s="59" t="s">
        <v>33</v>
      </c>
      <c r="AQ117" s="165">
        <f>COUNTIFS(JOURNAL!F:F,"12",JOURNAL!J:J,"OCDW",JOURNAL!O:O,"OT +")</f>
        <v>0</v>
      </c>
      <c r="AR117" s="271"/>
      <c r="AS117" s="59" t="s">
        <v>33</v>
      </c>
      <c r="AT117" s="165">
        <f>COUNTIFS(JOURNAL!F:F,"12",JOURNAL!J:J,"TCDC",JOURNAL!O:O,"OT +")</f>
        <v>0</v>
      </c>
      <c r="AU117" s="271"/>
      <c r="AV117" s="59" t="s">
        <v>33</v>
      </c>
      <c r="AW117" s="165">
        <f>COUNTIFS(JOURNAL!F:F,"12",JOURNAL!J:J,"OCDC",JOURNAL!O:O,"OT +")</f>
        <v>0</v>
      </c>
      <c r="AX117" s="271"/>
      <c r="AY117" s="59" t="s">
        <v>33</v>
      </c>
      <c r="AZ117" s="165">
        <f>COUNTIFS(JOURNAL!F:F,"12",JOURNAL!J:J,"TCP",JOURNAL!O:O,"OT +")</f>
        <v>0</v>
      </c>
      <c r="BA117" s="271"/>
      <c r="BB117" s="59" t="s">
        <v>33</v>
      </c>
      <c r="BC117" s="165">
        <f>COUNTIFS(JOURNAL!F:F,"12",JOURNAL!J:J,"OCP",JOURNAL!O:O,"OT +")</f>
        <v>0</v>
      </c>
      <c r="BD117" s="271"/>
      <c r="BE117" s="59" t="s">
        <v>33</v>
      </c>
      <c r="BF117" s="165">
        <f>COUNTIFS(JOURNAL!F:F,"12",JOURNAL!J:J,"RE",JOURNAL!O:O,"OT +")</f>
        <v>0</v>
      </c>
    </row>
    <row r="118" spans="25:58" ht="15.75" x14ac:dyDescent="0.25">
      <c r="Y118" s="273"/>
      <c r="Z118" s="271"/>
      <c r="AA118" s="60" t="s">
        <v>34</v>
      </c>
      <c r="AB118" s="165">
        <f>COUNTIFS(JOURNAL!F:F,"12",JOURNAL!J:J,"TCDP",JOURNAL!O:O,"OT -")</f>
        <v>0</v>
      </c>
      <c r="AC118" s="271"/>
      <c r="AD118" s="60" t="s">
        <v>34</v>
      </c>
      <c r="AE118" s="165">
        <f>COUNTIFS(JOURNAL!F:F,"12",JOURNAL!J:J,"OCDP",JOURNAL!O:O,"OT -")</f>
        <v>0</v>
      </c>
      <c r="AF118" s="271"/>
      <c r="AG118" s="60" t="s">
        <v>34</v>
      </c>
      <c r="AH118" s="165">
        <f>COUNTIFS(JOURNAL!F:F,"12",JOURNAL!J:J,"TCDL",JOURNAL!O:O,"OT -")</f>
        <v>0</v>
      </c>
      <c r="AI118" s="271"/>
      <c r="AJ118" s="60" t="s">
        <v>34</v>
      </c>
      <c r="AK118" s="165">
        <f>COUNTIFS(JOURNAL!F:F,"12",JOURNAL!J:J,"OCDL",JOURNAL!O:O,"OT -")</f>
        <v>0</v>
      </c>
      <c r="AL118" s="271"/>
      <c r="AM118" s="60" t="s">
        <v>34</v>
      </c>
      <c r="AN118" s="165">
        <f>COUNTIFS(JOURNAL!F:F,"12",JOURNAL!J:J,"TCDW",JOURNAL!O:O,"OT -")</f>
        <v>0</v>
      </c>
      <c r="AO118" s="271"/>
      <c r="AP118" s="60" t="s">
        <v>34</v>
      </c>
      <c r="AQ118" s="165">
        <f>COUNTIFS(JOURNAL!F:F,"12",JOURNAL!J:J,"OCDW",JOURNAL!O:O,"OT -")</f>
        <v>0</v>
      </c>
      <c r="AR118" s="271"/>
      <c r="AS118" s="60" t="s">
        <v>34</v>
      </c>
      <c r="AT118" s="165">
        <f>COUNTIFS(JOURNAL!F:F,"12",JOURNAL!J:J,"TCDC",JOURNAL!O:O,"OT -")</f>
        <v>0</v>
      </c>
      <c r="AU118" s="271"/>
      <c r="AV118" s="60" t="s">
        <v>34</v>
      </c>
      <c r="AW118" s="165">
        <f>COUNTIFS(JOURNAL!F:F,"12",JOURNAL!J:J,"OCDC",JOURNAL!O:O,"OT -")</f>
        <v>0</v>
      </c>
      <c r="AX118" s="271"/>
      <c r="AY118" s="60" t="s">
        <v>34</v>
      </c>
      <c r="AZ118" s="165">
        <f>COUNTIFS(JOURNAL!F:F,"12",JOURNAL!J:J,"TCP",JOURNAL!O:O,"OT -")</f>
        <v>0</v>
      </c>
      <c r="BA118" s="271"/>
      <c r="BB118" s="60" t="s">
        <v>34</v>
      </c>
      <c r="BC118" s="165">
        <f>COUNTIFS(JOURNAL!F:F,"12",JOURNAL!J:J,"OCP",JOURNAL!O:O,"OT -")</f>
        <v>0</v>
      </c>
      <c r="BD118" s="271"/>
      <c r="BE118" s="60" t="s">
        <v>34</v>
      </c>
      <c r="BF118" s="165">
        <f>COUNTIFS(JOURNAL!F:F,"12",JOURNAL!J:J,"RE",JOURNAL!O:O,"OT -")</f>
        <v>0</v>
      </c>
    </row>
    <row r="119" spans="25:58" ht="15.75" x14ac:dyDescent="0.25">
      <c r="Y119" s="273"/>
      <c r="Z119" s="271"/>
      <c r="AA119" s="25" t="s">
        <v>115</v>
      </c>
      <c r="AB119" s="166">
        <f>SUM(AB112:AB118)</f>
        <v>0</v>
      </c>
      <c r="AC119" s="271"/>
      <c r="AD119" s="25" t="s">
        <v>115</v>
      </c>
      <c r="AE119" s="166">
        <f>SUM(AE112:AE118)</f>
        <v>0</v>
      </c>
      <c r="AF119" s="271"/>
      <c r="AG119" s="25" t="s">
        <v>115</v>
      </c>
      <c r="AH119" s="166">
        <f>SUM(AH112:AH118)</f>
        <v>0</v>
      </c>
      <c r="AI119" s="271"/>
      <c r="AJ119" s="25" t="s">
        <v>115</v>
      </c>
      <c r="AK119" s="166">
        <f>SUM(AK112:AK118)</f>
        <v>0</v>
      </c>
      <c r="AL119" s="271"/>
      <c r="AM119" s="25" t="s">
        <v>115</v>
      </c>
      <c r="AN119" s="166">
        <f>SUM(AN112:AN118)</f>
        <v>0</v>
      </c>
      <c r="AO119" s="271"/>
      <c r="AP119" s="25" t="s">
        <v>115</v>
      </c>
      <c r="AQ119" s="166">
        <f>SUM(AQ112:AQ118)</f>
        <v>0</v>
      </c>
      <c r="AR119" s="271"/>
      <c r="AS119" s="25" t="s">
        <v>115</v>
      </c>
      <c r="AT119" s="166">
        <f>SUM(AT112:AT118)</f>
        <v>0</v>
      </c>
      <c r="AU119" s="271"/>
      <c r="AV119" s="25" t="s">
        <v>115</v>
      </c>
      <c r="AW119" s="166">
        <f>SUM(AW112:AW118)</f>
        <v>0</v>
      </c>
      <c r="AX119" s="271"/>
      <c r="AY119" s="25" t="s">
        <v>115</v>
      </c>
      <c r="AZ119" s="166">
        <f>SUM(AZ112:AZ118)</f>
        <v>0</v>
      </c>
      <c r="BA119" s="271"/>
      <c r="BB119" s="25" t="s">
        <v>115</v>
      </c>
      <c r="BC119" s="166">
        <f>SUM(BC112:BC118)</f>
        <v>0</v>
      </c>
      <c r="BD119" s="271"/>
      <c r="BE119" s="25" t="s">
        <v>115</v>
      </c>
      <c r="BF119" s="166">
        <f>SUM(BF112:BF118)</f>
        <v>0</v>
      </c>
    </row>
    <row r="120" spans="25:58" ht="15.75" x14ac:dyDescent="0.25">
      <c r="Y120" s="273"/>
      <c r="Z120" s="272"/>
      <c r="AA120" s="29" t="s">
        <v>44</v>
      </c>
      <c r="AB120" s="164" t="e">
        <f>SUM(AB112,AB114,AB115,AB117)/AB119</f>
        <v>#DIV/0!</v>
      </c>
      <c r="AC120" s="272"/>
      <c r="AD120" s="29" t="s">
        <v>44</v>
      </c>
      <c r="AE120" s="164" t="e">
        <f>SUM(AE112,AE114,AE115,AE117)/AE119</f>
        <v>#DIV/0!</v>
      </c>
      <c r="AF120" s="272"/>
      <c r="AG120" s="29" t="s">
        <v>44</v>
      </c>
      <c r="AH120" s="164" t="e">
        <f>SUM(AH112,AH114,AH115,AH117)/AH119</f>
        <v>#DIV/0!</v>
      </c>
      <c r="AI120" s="272"/>
      <c r="AJ120" s="29" t="s">
        <v>44</v>
      </c>
      <c r="AK120" s="164" t="e">
        <f>SUM(AK112,AK114,AK115,AK117)/AK119</f>
        <v>#DIV/0!</v>
      </c>
      <c r="AL120" s="272"/>
      <c r="AM120" s="29" t="s">
        <v>44</v>
      </c>
      <c r="AN120" s="164" t="e">
        <f>SUM(AN112,AN114,AN115,AN117)/AN119</f>
        <v>#DIV/0!</v>
      </c>
      <c r="AO120" s="272"/>
      <c r="AP120" s="29" t="s">
        <v>44</v>
      </c>
      <c r="AQ120" s="164" t="e">
        <f>SUM(AQ112,AQ114,AQ115,AQ117)/AQ119</f>
        <v>#DIV/0!</v>
      </c>
      <c r="AR120" s="272"/>
      <c r="AS120" s="29" t="s">
        <v>44</v>
      </c>
      <c r="AT120" s="164" t="e">
        <f>SUM(AT112,AT114,AT115,AT117)/AT119</f>
        <v>#DIV/0!</v>
      </c>
      <c r="AU120" s="272"/>
      <c r="AV120" s="29" t="s">
        <v>44</v>
      </c>
      <c r="AW120" s="164" t="e">
        <f>SUM(AW112,AW114,AW115,AW117)/AW119</f>
        <v>#DIV/0!</v>
      </c>
      <c r="AX120" s="272"/>
      <c r="AY120" s="29" t="s">
        <v>44</v>
      </c>
      <c r="AZ120" s="164" t="e">
        <f>SUM(AZ112,AZ114,AZ115,AZ117)/AZ119</f>
        <v>#DIV/0!</v>
      </c>
      <c r="BA120" s="272"/>
      <c r="BB120" s="29" t="s">
        <v>44</v>
      </c>
      <c r="BC120" s="164" t="e">
        <f>SUM(BC112,BC114,BC115,BC117)/BC119</f>
        <v>#DIV/0!</v>
      </c>
      <c r="BD120" s="272"/>
      <c r="BE120" s="29" t="s">
        <v>44</v>
      </c>
      <c r="BF120" s="164" t="e">
        <f>SUM(BF112,BF114,BF115,BF117)/BF119</f>
        <v>#DIV/0!</v>
      </c>
    </row>
  </sheetData>
  <sheetProtection algorithmName="SHA-512" hashValue="AUAmVLB4soaSt4EBx9G+HiSYtkICTy8ShWBy0LB4lNb4q3ICG6du/dvY6KyyLzG9xFtUgjhL70+pEhOq05k2GA==" saltValue="D3QfbHjYrCUSnlbAZ2d9uQ==" spinCount="100000" sheet="1" objects="1" scenarios="1"/>
  <mergeCells count="188">
    <mergeCell ref="BA102:BA110"/>
    <mergeCell ref="BD102:BD110"/>
    <mergeCell ref="Y112:Y120"/>
    <mergeCell ref="Z112:Z120"/>
    <mergeCell ref="AC112:AC120"/>
    <mergeCell ref="AF112:AF120"/>
    <mergeCell ref="AI112:AI120"/>
    <mergeCell ref="AL112:AL120"/>
    <mergeCell ref="AO112:AO120"/>
    <mergeCell ref="AR112:AR120"/>
    <mergeCell ref="AU112:AU120"/>
    <mergeCell ref="AX112:AX120"/>
    <mergeCell ref="BA112:BA120"/>
    <mergeCell ref="BD112:BD120"/>
    <mergeCell ref="AL102:AL110"/>
    <mergeCell ref="AO102:AO110"/>
    <mergeCell ref="AR102:AR110"/>
    <mergeCell ref="AU102:AU110"/>
    <mergeCell ref="AX102:AX110"/>
    <mergeCell ref="Y102:Y110"/>
    <mergeCell ref="Z102:Z110"/>
    <mergeCell ref="AC102:AC110"/>
    <mergeCell ref="AF102:AF110"/>
    <mergeCell ref="AI102:AI110"/>
    <mergeCell ref="BA82:BA90"/>
    <mergeCell ref="BD82:BD90"/>
    <mergeCell ref="Y92:Y100"/>
    <mergeCell ref="Z92:Z100"/>
    <mergeCell ref="AC92:AC100"/>
    <mergeCell ref="AF92:AF100"/>
    <mergeCell ref="AI92:AI100"/>
    <mergeCell ref="AL92:AL100"/>
    <mergeCell ref="AO92:AO100"/>
    <mergeCell ref="AR92:AR100"/>
    <mergeCell ref="AU92:AU100"/>
    <mergeCell ref="AX92:AX100"/>
    <mergeCell ref="BA92:BA100"/>
    <mergeCell ref="BD92:BD100"/>
    <mergeCell ref="AL82:AL90"/>
    <mergeCell ref="AO82:AO90"/>
    <mergeCell ref="AR82:AR90"/>
    <mergeCell ref="AU82:AU90"/>
    <mergeCell ref="AX82:AX90"/>
    <mergeCell ref="Y82:Y90"/>
    <mergeCell ref="Z82:Z90"/>
    <mergeCell ref="AC82:AC90"/>
    <mergeCell ref="AF82:AF90"/>
    <mergeCell ref="AI82:AI90"/>
    <mergeCell ref="BA62:BA70"/>
    <mergeCell ref="BD62:BD70"/>
    <mergeCell ref="Y72:Y80"/>
    <mergeCell ref="Z72:Z80"/>
    <mergeCell ref="AC72:AC80"/>
    <mergeCell ref="AF72:AF80"/>
    <mergeCell ref="AI72:AI80"/>
    <mergeCell ref="AL72:AL80"/>
    <mergeCell ref="AO72:AO80"/>
    <mergeCell ref="AR72:AR80"/>
    <mergeCell ref="AU72:AU80"/>
    <mergeCell ref="AX72:AX80"/>
    <mergeCell ref="BA72:BA80"/>
    <mergeCell ref="BD72:BD80"/>
    <mergeCell ref="AL62:AL70"/>
    <mergeCell ref="AO62:AO70"/>
    <mergeCell ref="AR62:AR70"/>
    <mergeCell ref="AU62:AU70"/>
    <mergeCell ref="AX62:AX70"/>
    <mergeCell ref="Y62:Y70"/>
    <mergeCell ref="Z62:Z70"/>
    <mergeCell ref="AC62:AC70"/>
    <mergeCell ref="AF62:AF70"/>
    <mergeCell ref="AI62:AI70"/>
    <mergeCell ref="BA42:BA50"/>
    <mergeCell ref="BD42:BD50"/>
    <mergeCell ref="Y52:Y60"/>
    <mergeCell ref="Z52:Z60"/>
    <mergeCell ref="AC52:AC60"/>
    <mergeCell ref="AF52:AF60"/>
    <mergeCell ref="AI52:AI60"/>
    <mergeCell ref="AL52:AL60"/>
    <mergeCell ref="AO52:AO60"/>
    <mergeCell ref="AR52:AR60"/>
    <mergeCell ref="AU52:AU60"/>
    <mergeCell ref="AX52:AX60"/>
    <mergeCell ref="BA52:BA60"/>
    <mergeCell ref="BD52:BD60"/>
    <mergeCell ref="AL42:AL50"/>
    <mergeCell ref="AO42:AO50"/>
    <mergeCell ref="AR42:AR50"/>
    <mergeCell ref="AU42:AU50"/>
    <mergeCell ref="AX42:AX50"/>
    <mergeCell ref="Y42:Y50"/>
    <mergeCell ref="Z42:Z50"/>
    <mergeCell ref="AC42:AC50"/>
    <mergeCell ref="AF42:AF50"/>
    <mergeCell ref="AI42:AI50"/>
    <mergeCell ref="BA22:BA30"/>
    <mergeCell ref="BD22:BD30"/>
    <mergeCell ref="Y32:Y40"/>
    <mergeCell ref="Z32:Z40"/>
    <mergeCell ref="AC32:AC40"/>
    <mergeCell ref="AF32:AF40"/>
    <mergeCell ref="AI32:AI40"/>
    <mergeCell ref="AL32:AL40"/>
    <mergeCell ref="AO32:AO40"/>
    <mergeCell ref="AR32:AR40"/>
    <mergeCell ref="AU32:AU40"/>
    <mergeCell ref="AX32:AX40"/>
    <mergeCell ref="BA32:BA40"/>
    <mergeCell ref="BD32:BD40"/>
    <mergeCell ref="AL22:AL30"/>
    <mergeCell ref="AO22:AO30"/>
    <mergeCell ref="AR22:AR30"/>
    <mergeCell ref="AU22:AU30"/>
    <mergeCell ref="AX22:AX30"/>
    <mergeCell ref="Y22:Y30"/>
    <mergeCell ref="Z22:Z30"/>
    <mergeCell ref="AC22:AC30"/>
    <mergeCell ref="AF22:AF30"/>
    <mergeCell ref="AI22:AI30"/>
    <mergeCell ref="BA2:BA10"/>
    <mergeCell ref="BD2:BD10"/>
    <mergeCell ref="Y12:Y20"/>
    <mergeCell ref="Z12:Z20"/>
    <mergeCell ref="AC12:AC20"/>
    <mergeCell ref="AF12:AF20"/>
    <mergeCell ref="AI12:AI20"/>
    <mergeCell ref="AL12:AL20"/>
    <mergeCell ref="AO12:AO20"/>
    <mergeCell ref="AR12:AR20"/>
    <mergeCell ref="AU12:AU20"/>
    <mergeCell ref="AX12:AX20"/>
    <mergeCell ref="BA12:BA20"/>
    <mergeCell ref="BD12:BD20"/>
    <mergeCell ref="AL2:AL10"/>
    <mergeCell ref="AO2:AO10"/>
    <mergeCell ref="AR2:AR10"/>
    <mergeCell ref="AU2:AU10"/>
    <mergeCell ref="AX2:AX10"/>
    <mergeCell ref="Y2:Y10"/>
    <mergeCell ref="Z2:Z10"/>
    <mergeCell ref="AC2:AC10"/>
    <mergeCell ref="AF2:AF10"/>
    <mergeCell ref="AI2:AI10"/>
    <mergeCell ref="N48:N49"/>
    <mergeCell ref="O48:P49"/>
    <mergeCell ref="N50:N55"/>
    <mergeCell ref="N24:R24"/>
    <mergeCell ref="N25:N26"/>
    <mergeCell ref="O25:P26"/>
    <mergeCell ref="N27:N32"/>
    <mergeCell ref="B68:F68"/>
    <mergeCell ref="B69:B70"/>
    <mergeCell ref="B71:B76"/>
    <mergeCell ref="C69:D70"/>
    <mergeCell ref="H68:L68"/>
    <mergeCell ref="H69:H70"/>
    <mergeCell ref="H71:H76"/>
    <mergeCell ref="I69:J70"/>
    <mergeCell ref="B50:B55"/>
    <mergeCell ref="H47:L47"/>
    <mergeCell ref="H48:H49"/>
    <mergeCell ref="I48:J49"/>
    <mergeCell ref="H50:H55"/>
    <mergeCell ref="B47:F47"/>
    <mergeCell ref="B48:B49"/>
    <mergeCell ref="C48:D49"/>
    <mergeCell ref="N2:R2"/>
    <mergeCell ref="H25:H26"/>
    <mergeCell ref="I25:J26"/>
    <mergeCell ref="H27:H32"/>
    <mergeCell ref="N47:R47"/>
    <mergeCell ref="B25:B26"/>
    <mergeCell ref="C25:D26"/>
    <mergeCell ref="B27:B32"/>
    <mergeCell ref="O3:P4"/>
    <mergeCell ref="N3:N4"/>
    <mergeCell ref="H3:H4"/>
    <mergeCell ref="I3:J4"/>
    <mergeCell ref="H5:H10"/>
    <mergeCell ref="N5:N10"/>
    <mergeCell ref="B2:F2"/>
    <mergeCell ref="B3:B4"/>
    <mergeCell ref="C3:D4"/>
    <mergeCell ref="B5:B10"/>
    <mergeCell ref="H24:L24"/>
    <mergeCell ref="B24:F24"/>
    <mergeCell ref="H2:L2"/>
  </mergeCells>
  <conditionalFormatting sqref="D10">
    <cfRule type="cellIs" dxfId="1488" priority="915" operator="lessThan">
      <formula>0</formula>
    </cfRule>
    <cfRule type="cellIs" dxfId="1487" priority="916" operator="greaterThan">
      <formula>0</formula>
    </cfRule>
    <cfRule type="cellIs" dxfId="1486" priority="917" operator="equal">
      <formula>0</formula>
    </cfRule>
  </conditionalFormatting>
  <conditionalFormatting sqref="F10">
    <cfRule type="cellIs" dxfId="1485" priority="910" operator="lessThan">
      <formula>0</formula>
    </cfRule>
    <cfRule type="cellIs" dxfId="1484" priority="911" operator="greaterThan">
      <formula>0</formula>
    </cfRule>
    <cfRule type="cellIs" dxfId="1483" priority="912" operator="equal">
      <formula>0</formula>
    </cfRule>
    <cfRule type="cellIs" dxfId="1482" priority="913" operator="equal">
      <formula>0</formula>
    </cfRule>
    <cfRule type="cellIs" dxfId="1481" priority="914" operator="equal">
      <formula>0</formula>
    </cfRule>
  </conditionalFormatting>
  <conditionalFormatting sqref="J10">
    <cfRule type="cellIs" dxfId="1480" priority="907" operator="lessThan">
      <formula>0</formula>
    </cfRule>
    <cfRule type="cellIs" dxfId="1479" priority="908" operator="greaterThan">
      <formula>0</formula>
    </cfRule>
    <cfRule type="cellIs" dxfId="1478" priority="909" operator="equal">
      <formula>0</formula>
    </cfRule>
  </conditionalFormatting>
  <conditionalFormatting sqref="L10">
    <cfRule type="cellIs" dxfId="1477" priority="826" operator="equal">
      <formula>0</formula>
    </cfRule>
    <cfRule type="cellIs" dxfId="1476" priority="902" operator="lessThan">
      <formula>0</formula>
    </cfRule>
    <cfRule type="cellIs" dxfId="1475" priority="903" operator="greaterThan">
      <formula>0</formula>
    </cfRule>
    <cfRule type="cellIs" dxfId="1474" priority="904" operator="equal">
      <formula>0</formula>
    </cfRule>
    <cfRule type="cellIs" dxfId="1473" priority="905" operator="equal">
      <formula>0</formula>
    </cfRule>
    <cfRule type="cellIs" dxfId="1472" priority="906" operator="equal">
      <formula>0</formula>
    </cfRule>
  </conditionalFormatting>
  <conditionalFormatting sqref="P10">
    <cfRule type="cellIs" dxfId="1471" priority="899" operator="lessThan">
      <formula>0</formula>
    </cfRule>
    <cfRule type="cellIs" dxfId="1470" priority="900" operator="greaterThan">
      <formula>0</formula>
    </cfRule>
    <cfRule type="cellIs" dxfId="1469" priority="901" operator="equal">
      <formula>0</formula>
    </cfRule>
  </conditionalFormatting>
  <conditionalFormatting sqref="R10">
    <cfRule type="cellIs" dxfId="1468" priority="894" operator="lessThan">
      <formula>0</formula>
    </cfRule>
    <cfRule type="cellIs" dxfId="1467" priority="895" operator="greaterThan">
      <formula>0</formula>
    </cfRule>
    <cfRule type="cellIs" dxfId="1466" priority="896" operator="equal">
      <formula>0</formula>
    </cfRule>
    <cfRule type="cellIs" dxfId="1465" priority="897" operator="equal">
      <formula>0</formula>
    </cfRule>
    <cfRule type="cellIs" dxfId="1464" priority="898" operator="equal">
      <formula>0</formula>
    </cfRule>
  </conditionalFormatting>
  <conditionalFormatting sqref="D32">
    <cfRule type="cellIs" dxfId="1463" priority="891" operator="lessThan">
      <formula>0</formula>
    </cfRule>
    <cfRule type="cellIs" dxfId="1462" priority="892" operator="greaterThan">
      <formula>0</formula>
    </cfRule>
    <cfRule type="cellIs" dxfId="1461" priority="893" operator="equal">
      <formula>0</formula>
    </cfRule>
  </conditionalFormatting>
  <conditionalFormatting sqref="F32">
    <cfRule type="cellIs" dxfId="1460" priority="886" operator="lessThan">
      <formula>0</formula>
    </cfRule>
    <cfRule type="cellIs" dxfId="1459" priority="887" operator="greaterThan">
      <formula>0</formula>
    </cfRule>
    <cfRule type="cellIs" dxfId="1458" priority="888" operator="equal">
      <formula>0</formula>
    </cfRule>
    <cfRule type="cellIs" dxfId="1457" priority="889" operator="equal">
      <formula>0</formula>
    </cfRule>
    <cfRule type="cellIs" dxfId="1456" priority="890" operator="equal">
      <formula>0</formula>
    </cfRule>
  </conditionalFormatting>
  <conditionalFormatting sqref="D55">
    <cfRule type="cellIs" dxfId="1455" priority="883" operator="lessThan">
      <formula>0</formula>
    </cfRule>
    <cfRule type="cellIs" dxfId="1454" priority="884" operator="greaterThan">
      <formula>0</formula>
    </cfRule>
    <cfRule type="cellIs" dxfId="1453" priority="885" operator="equal">
      <formula>0</formula>
    </cfRule>
  </conditionalFormatting>
  <conditionalFormatting sqref="F55">
    <cfRule type="cellIs" dxfId="1452" priority="878" operator="lessThan">
      <formula>0</formula>
    </cfRule>
    <cfRule type="cellIs" dxfId="1451" priority="879" operator="greaterThan">
      <formula>0</formula>
    </cfRule>
    <cfRule type="cellIs" dxfId="1450" priority="880" operator="equal">
      <formula>0</formula>
    </cfRule>
    <cfRule type="cellIs" dxfId="1449" priority="881" operator="equal">
      <formula>0</formula>
    </cfRule>
    <cfRule type="cellIs" dxfId="1448" priority="882" operator="equal">
      <formula>0</formula>
    </cfRule>
  </conditionalFormatting>
  <conditionalFormatting sqref="J55">
    <cfRule type="cellIs" dxfId="1447" priority="875" operator="lessThan">
      <formula>0</formula>
    </cfRule>
    <cfRule type="cellIs" dxfId="1446" priority="876" operator="greaterThan">
      <formula>0</formula>
    </cfRule>
    <cfRule type="cellIs" dxfId="1445" priority="877" operator="equal">
      <formula>0</formula>
    </cfRule>
  </conditionalFormatting>
  <conditionalFormatting sqref="L55">
    <cfRule type="cellIs" dxfId="1444" priority="870" operator="lessThan">
      <formula>0</formula>
    </cfRule>
    <cfRule type="cellIs" dxfId="1443" priority="871" operator="greaterThan">
      <formula>0</formula>
    </cfRule>
    <cfRule type="cellIs" dxfId="1442" priority="872" operator="equal">
      <formula>0</formula>
    </cfRule>
    <cfRule type="cellIs" dxfId="1441" priority="873" operator="equal">
      <formula>0</formula>
    </cfRule>
    <cfRule type="cellIs" dxfId="1440" priority="874" operator="equal">
      <formula>0</formula>
    </cfRule>
  </conditionalFormatting>
  <conditionalFormatting sqref="P32">
    <cfRule type="cellIs" dxfId="1439" priority="867" operator="lessThan">
      <formula>0</formula>
    </cfRule>
    <cfRule type="cellIs" dxfId="1438" priority="868" operator="greaterThan">
      <formula>0</formula>
    </cfRule>
    <cfRule type="cellIs" dxfId="1437" priority="869" operator="equal">
      <formula>0</formula>
    </cfRule>
  </conditionalFormatting>
  <conditionalFormatting sqref="R32">
    <cfRule type="cellIs" dxfId="1436" priority="862" operator="lessThan">
      <formula>0</formula>
    </cfRule>
    <cfRule type="cellIs" dxfId="1435" priority="863" operator="greaterThan">
      <formula>0</formula>
    </cfRule>
    <cfRule type="cellIs" dxfId="1434" priority="864" operator="equal">
      <formula>0</formula>
    </cfRule>
    <cfRule type="cellIs" dxfId="1433" priority="865" operator="equal">
      <formula>0</formula>
    </cfRule>
    <cfRule type="cellIs" dxfId="1432" priority="866" operator="equal">
      <formula>0</formula>
    </cfRule>
  </conditionalFormatting>
  <conditionalFormatting sqref="J32">
    <cfRule type="cellIs" dxfId="1431" priority="859" operator="lessThan">
      <formula>0</formula>
    </cfRule>
    <cfRule type="cellIs" dxfId="1430" priority="860" operator="greaterThan">
      <formula>0</formula>
    </cfRule>
    <cfRule type="cellIs" dxfId="1429" priority="861" operator="equal">
      <formula>0</formula>
    </cfRule>
  </conditionalFormatting>
  <conditionalFormatting sqref="L32">
    <cfRule type="cellIs" dxfId="1428" priority="854" operator="lessThan">
      <formula>0</formula>
    </cfRule>
    <cfRule type="cellIs" dxfId="1427" priority="855" operator="greaterThan">
      <formula>0</formula>
    </cfRule>
    <cfRule type="cellIs" dxfId="1426" priority="856" operator="equal">
      <formula>0</formula>
    </cfRule>
    <cfRule type="cellIs" dxfId="1425" priority="857" operator="equal">
      <formula>0</formula>
    </cfRule>
    <cfRule type="cellIs" dxfId="1424" priority="858" operator="equal">
      <formula>0</formula>
    </cfRule>
  </conditionalFormatting>
  <conditionalFormatting sqref="D76">
    <cfRule type="cellIs" dxfId="1423" priority="851" operator="lessThan">
      <formula>0</formula>
    </cfRule>
    <cfRule type="cellIs" dxfId="1422" priority="852" operator="greaterThan">
      <formula>0</formula>
    </cfRule>
    <cfRule type="cellIs" dxfId="1421" priority="853" operator="equal">
      <formula>0</formula>
    </cfRule>
  </conditionalFormatting>
  <conditionalFormatting sqref="F76">
    <cfRule type="cellIs" dxfId="1420" priority="846" operator="lessThan">
      <formula>0</formula>
    </cfRule>
    <cfRule type="cellIs" dxfId="1419" priority="847" operator="greaterThan">
      <formula>0</formula>
    </cfRule>
    <cfRule type="cellIs" dxfId="1418" priority="848" operator="equal">
      <formula>0</formula>
    </cfRule>
    <cfRule type="cellIs" dxfId="1417" priority="849" operator="equal">
      <formula>0</formula>
    </cfRule>
    <cfRule type="cellIs" dxfId="1416" priority="850" operator="equal">
      <formula>0</formula>
    </cfRule>
  </conditionalFormatting>
  <conditionalFormatting sqref="P55">
    <cfRule type="cellIs" dxfId="1415" priority="843" operator="lessThan">
      <formula>0</formula>
    </cfRule>
    <cfRule type="cellIs" dxfId="1414" priority="844" operator="greaterThan">
      <formula>0</formula>
    </cfRule>
    <cfRule type="cellIs" dxfId="1413" priority="845" operator="equal">
      <formula>0</formula>
    </cfRule>
  </conditionalFormatting>
  <conditionalFormatting sqref="R55">
    <cfRule type="cellIs" dxfId="1412" priority="838" operator="lessThan">
      <formula>0</formula>
    </cfRule>
    <cfRule type="cellIs" dxfId="1411" priority="839" operator="greaterThan">
      <formula>0</formula>
    </cfRule>
    <cfRule type="cellIs" dxfId="1410" priority="840" operator="equal">
      <formula>0</formula>
    </cfRule>
    <cfRule type="cellIs" dxfId="1409" priority="841" operator="equal">
      <formula>0</formula>
    </cfRule>
    <cfRule type="cellIs" dxfId="1408" priority="842" operator="equal">
      <formula>0</formula>
    </cfRule>
  </conditionalFormatting>
  <conditionalFormatting sqref="J76">
    <cfRule type="cellIs" dxfId="1407" priority="835" operator="lessThan">
      <formula>0</formula>
    </cfRule>
    <cfRule type="cellIs" dxfId="1406" priority="836" operator="greaterThan">
      <formula>0</formula>
    </cfRule>
    <cfRule type="cellIs" dxfId="1405" priority="837" operator="equal">
      <formula>0</formula>
    </cfRule>
  </conditionalFormatting>
  <conditionalFormatting sqref="L76">
    <cfRule type="cellIs" dxfId="1404" priority="830" operator="lessThan">
      <formula>0</formula>
    </cfRule>
    <cfRule type="cellIs" dxfId="1403" priority="831" operator="greaterThan">
      <formula>0</formula>
    </cfRule>
    <cfRule type="cellIs" dxfId="1402" priority="832" operator="equal">
      <formula>0</formula>
    </cfRule>
    <cfRule type="cellIs" dxfId="1401" priority="833" operator="equal">
      <formula>0</formula>
    </cfRule>
    <cfRule type="cellIs" dxfId="1400" priority="834" operator="equal">
      <formula>0</formula>
    </cfRule>
  </conditionalFormatting>
  <conditionalFormatting sqref="U3:U13">
    <cfRule type="cellIs" dxfId="1399" priority="827" operator="lessThan">
      <formula>0</formula>
    </cfRule>
    <cfRule type="cellIs" dxfId="1398" priority="828" operator="greaterThan">
      <formula>0</formula>
    </cfRule>
    <cfRule type="cellIs" dxfId="1397" priority="829" operator="equal">
      <formula>0</formula>
    </cfRule>
  </conditionalFormatting>
  <conditionalFormatting sqref="U16:U26">
    <cfRule type="cellIs" dxfId="1396" priority="823" operator="lessThan">
      <formula>0</formula>
    </cfRule>
    <cfRule type="cellIs" dxfId="1395" priority="824" operator="greaterThan">
      <formula>0</formula>
    </cfRule>
    <cfRule type="cellIs" dxfId="1394" priority="825" operator="equal">
      <formula>0</formula>
    </cfRule>
  </conditionalFormatting>
  <conditionalFormatting sqref="AB10">
    <cfRule type="cellIs" dxfId="1393" priority="820" operator="lessThan">
      <formula>0</formula>
    </cfRule>
    <cfRule type="cellIs" dxfId="1392" priority="821" operator="greaterThan">
      <formula>0</formula>
    </cfRule>
    <cfRule type="cellIs" dxfId="1391" priority="822" operator="equal">
      <formula>0</formula>
    </cfRule>
  </conditionalFormatting>
  <conditionalFormatting sqref="AH10">
    <cfRule type="cellIs" dxfId="1390" priority="391" operator="lessThan">
      <formula>0</formula>
    </cfRule>
    <cfRule type="cellIs" dxfId="1389" priority="392" operator="greaterThan">
      <formula>0</formula>
    </cfRule>
    <cfRule type="cellIs" dxfId="1388" priority="393" operator="equal">
      <formula>0</formula>
    </cfRule>
  </conditionalFormatting>
  <conditionalFormatting sqref="AE10">
    <cfRule type="cellIs" dxfId="1387" priority="394" operator="lessThan">
      <formula>0</formula>
    </cfRule>
    <cfRule type="cellIs" dxfId="1386" priority="395" operator="greaterThan">
      <formula>0</formula>
    </cfRule>
    <cfRule type="cellIs" dxfId="1385" priority="396" operator="equal">
      <formula>0</formula>
    </cfRule>
  </conditionalFormatting>
  <conditionalFormatting sqref="BC120">
    <cfRule type="cellIs" dxfId="1384" priority="28" operator="lessThan">
      <formula>0</formula>
    </cfRule>
    <cfRule type="cellIs" dxfId="1383" priority="29" operator="greaterThan">
      <formula>0</formula>
    </cfRule>
    <cfRule type="cellIs" dxfId="1382" priority="30" operator="equal">
      <formula>0</formula>
    </cfRule>
  </conditionalFormatting>
  <conditionalFormatting sqref="AK10">
    <cfRule type="cellIs" dxfId="1381" priority="388" operator="lessThan">
      <formula>0</formula>
    </cfRule>
    <cfRule type="cellIs" dxfId="1380" priority="389" operator="greaterThan">
      <formula>0</formula>
    </cfRule>
    <cfRule type="cellIs" dxfId="1379" priority="390" operator="equal">
      <formula>0</formula>
    </cfRule>
  </conditionalFormatting>
  <conditionalFormatting sqref="AN10">
    <cfRule type="cellIs" dxfId="1378" priority="385" operator="lessThan">
      <formula>0</formula>
    </cfRule>
    <cfRule type="cellIs" dxfId="1377" priority="386" operator="greaterThan">
      <formula>0</formula>
    </cfRule>
    <cfRule type="cellIs" dxfId="1376" priority="387" operator="equal">
      <formula>0</formula>
    </cfRule>
  </conditionalFormatting>
  <conditionalFormatting sqref="AQ10">
    <cfRule type="cellIs" dxfId="1375" priority="382" operator="lessThan">
      <formula>0</formula>
    </cfRule>
    <cfRule type="cellIs" dxfId="1374" priority="383" operator="greaterThan">
      <formula>0</formula>
    </cfRule>
    <cfRule type="cellIs" dxfId="1373" priority="384" operator="equal">
      <formula>0</formula>
    </cfRule>
  </conditionalFormatting>
  <conditionalFormatting sqref="AT10">
    <cfRule type="cellIs" dxfId="1372" priority="379" operator="lessThan">
      <formula>0</formula>
    </cfRule>
    <cfRule type="cellIs" dxfId="1371" priority="380" operator="greaterThan">
      <formula>0</formula>
    </cfRule>
    <cfRule type="cellIs" dxfId="1370" priority="381" operator="equal">
      <formula>0</formula>
    </cfRule>
  </conditionalFormatting>
  <conditionalFormatting sqref="AW10">
    <cfRule type="cellIs" dxfId="1369" priority="376" operator="lessThan">
      <formula>0</formula>
    </cfRule>
    <cfRule type="cellIs" dxfId="1368" priority="377" operator="greaterThan">
      <formula>0</formula>
    </cfRule>
    <cfRule type="cellIs" dxfId="1367" priority="378" operator="equal">
      <formula>0</formula>
    </cfRule>
  </conditionalFormatting>
  <conditionalFormatting sqref="AZ10">
    <cfRule type="cellIs" dxfId="1366" priority="373" operator="lessThan">
      <formula>0</formula>
    </cfRule>
    <cfRule type="cellIs" dxfId="1365" priority="374" operator="greaterThan">
      <formula>0</formula>
    </cfRule>
    <cfRule type="cellIs" dxfId="1364" priority="375" operator="equal">
      <formula>0</formula>
    </cfRule>
  </conditionalFormatting>
  <conditionalFormatting sqref="BC10">
    <cfRule type="cellIs" dxfId="1363" priority="370" operator="lessThan">
      <formula>0</formula>
    </cfRule>
    <cfRule type="cellIs" dxfId="1362" priority="371" operator="greaterThan">
      <formula>0</formula>
    </cfRule>
    <cfRule type="cellIs" dxfId="1361" priority="372" operator="equal">
      <formula>0</formula>
    </cfRule>
  </conditionalFormatting>
  <conditionalFormatting sqref="BF10">
    <cfRule type="cellIs" dxfId="1360" priority="367" operator="lessThan">
      <formula>0</formula>
    </cfRule>
    <cfRule type="cellIs" dxfId="1359" priority="368" operator="greaterThan">
      <formula>0</formula>
    </cfRule>
    <cfRule type="cellIs" dxfId="1358" priority="369" operator="equal">
      <formula>0</formula>
    </cfRule>
  </conditionalFormatting>
  <conditionalFormatting sqref="AB20">
    <cfRule type="cellIs" dxfId="1357" priority="364" operator="lessThan">
      <formula>0</formula>
    </cfRule>
    <cfRule type="cellIs" dxfId="1356" priority="365" operator="greaterThan">
      <formula>0</formula>
    </cfRule>
    <cfRule type="cellIs" dxfId="1355" priority="366" operator="equal">
      <formula>0</formula>
    </cfRule>
  </conditionalFormatting>
  <conditionalFormatting sqref="AE20">
    <cfRule type="cellIs" dxfId="1354" priority="361" operator="lessThan">
      <formula>0</formula>
    </cfRule>
    <cfRule type="cellIs" dxfId="1353" priority="362" operator="greaterThan">
      <formula>0</formula>
    </cfRule>
    <cfRule type="cellIs" dxfId="1352" priority="363" operator="equal">
      <formula>0</formula>
    </cfRule>
  </conditionalFormatting>
  <conditionalFormatting sqref="AB120">
    <cfRule type="cellIs" dxfId="1351" priority="1" operator="lessThan">
      <formula>0</formula>
    </cfRule>
    <cfRule type="cellIs" dxfId="1350" priority="2" operator="greaterThan">
      <formula>0</formula>
    </cfRule>
    <cfRule type="cellIs" dxfId="1349" priority="3" operator="equal">
      <formula>0</formula>
    </cfRule>
  </conditionalFormatting>
  <conditionalFormatting sqref="AH20">
    <cfRule type="cellIs" dxfId="1348" priority="355" operator="lessThan">
      <formula>0</formula>
    </cfRule>
    <cfRule type="cellIs" dxfId="1347" priority="356" operator="greaterThan">
      <formula>0</formula>
    </cfRule>
    <cfRule type="cellIs" dxfId="1346" priority="357" operator="equal">
      <formula>0</formula>
    </cfRule>
  </conditionalFormatting>
  <conditionalFormatting sqref="AK20">
    <cfRule type="cellIs" dxfId="1345" priority="352" operator="lessThan">
      <formula>0</formula>
    </cfRule>
    <cfRule type="cellIs" dxfId="1344" priority="353" operator="greaterThan">
      <formula>0</formula>
    </cfRule>
    <cfRule type="cellIs" dxfId="1343" priority="354" operator="equal">
      <formula>0</formula>
    </cfRule>
  </conditionalFormatting>
  <conditionalFormatting sqref="AN20">
    <cfRule type="cellIs" dxfId="1342" priority="349" operator="lessThan">
      <formula>0</formula>
    </cfRule>
    <cfRule type="cellIs" dxfId="1341" priority="350" operator="greaterThan">
      <formula>0</formula>
    </cfRule>
    <cfRule type="cellIs" dxfId="1340" priority="351" operator="equal">
      <formula>0</formula>
    </cfRule>
  </conditionalFormatting>
  <conditionalFormatting sqref="AQ20">
    <cfRule type="cellIs" dxfId="1339" priority="346" operator="lessThan">
      <formula>0</formula>
    </cfRule>
    <cfRule type="cellIs" dxfId="1338" priority="347" operator="greaterThan">
      <formula>0</formula>
    </cfRule>
    <cfRule type="cellIs" dxfId="1337" priority="348" operator="equal">
      <formula>0</formula>
    </cfRule>
  </conditionalFormatting>
  <conditionalFormatting sqref="AT20">
    <cfRule type="cellIs" dxfId="1336" priority="343" operator="lessThan">
      <formula>0</formula>
    </cfRule>
    <cfRule type="cellIs" dxfId="1335" priority="344" operator="greaterThan">
      <formula>0</formula>
    </cfRule>
    <cfRule type="cellIs" dxfId="1334" priority="345" operator="equal">
      <formula>0</formula>
    </cfRule>
  </conditionalFormatting>
  <conditionalFormatting sqref="AW20">
    <cfRule type="cellIs" dxfId="1333" priority="340" operator="lessThan">
      <formula>0</formula>
    </cfRule>
    <cfRule type="cellIs" dxfId="1332" priority="341" operator="greaterThan">
      <formula>0</formula>
    </cfRule>
    <cfRule type="cellIs" dxfId="1331" priority="342" operator="equal">
      <formula>0</formula>
    </cfRule>
  </conditionalFormatting>
  <conditionalFormatting sqref="AZ20">
    <cfRule type="cellIs" dxfId="1330" priority="337" operator="lessThan">
      <formula>0</formula>
    </cfRule>
    <cfRule type="cellIs" dxfId="1329" priority="338" operator="greaterThan">
      <formula>0</formula>
    </cfRule>
    <cfRule type="cellIs" dxfId="1328" priority="339" operator="equal">
      <formula>0</formula>
    </cfRule>
  </conditionalFormatting>
  <conditionalFormatting sqref="BC20">
    <cfRule type="cellIs" dxfId="1327" priority="334" operator="lessThan">
      <formula>0</formula>
    </cfRule>
    <cfRule type="cellIs" dxfId="1326" priority="335" operator="greaterThan">
      <formula>0</formula>
    </cfRule>
    <cfRule type="cellIs" dxfId="1325" priority="336" operator="equal">
      <formula>0</formula>
    </cfRule>
  </conditionalFormatting>
  <conditionalFormatting sqref="BF20">
    <cfRule type="cellIs" dxfId="1324" priority="331" operator="lessThan">
      <formula>0</formula>
    </cfRule>
    <cfRule type="cellIs" dxfId="1323" priority="332" operator="greaterThan">
      <formula>0</formula>
    </cfRule>
    <cfRule type="cellIs" dxfId="1322" priority="333" operator="equal">
      <formula>0</formula>
    </cfRule>
  </conditionalFormatting>
  <conditionalFormatting sqref="AB30">
    <cfRule type="cellIs" dxfId="1321" priority="328" operator="lessThan">
      <formula>0</formula>
    </cfRule>
    <cfRule type="cellIs" dxfId="1320" priority="329" operator="greaterThan">
      <formula>0</formula>
    </cfRule>
    <cfRule type="cellIs" dxfId="1319" priority="330" operator="equal">
      <formula>0</formula>
    </cfRule>
  </conditionalFormatting>
  <conditionalFormatting sqref="AE30">
    <cfRule type="cellIs" dxfId="1318" priority="325" operator="lessThan">
      <formula>0</formula>
    </cfRule>
    <cfRule type="cellIs" dxfId="1317" priority="326" operator="greaterThan">
      <formula>0</formula>
    </cfRule>
    <cfRule type="cellIs" dxfId="1316" priority="327" operator="equal">
      <formula>0</formula>
    </cfRule>
  </conditionalFormatting>
  <conditionalFormatting sqref="AH30">
    <cfRule type="cellIs" dxfId="1315" priority="322" operator="lessThan">
      <formula>0</formula>
    </cfRule>
    <cfRule type="cellIs" dxfId="1314" priority="323" operator="greaterThan">
      <formula>0</formula>
    </cfRule>
    <cfRule type="cellIs" dxfId="1313" priority="324" operator="equal">
      <formula>0</formula>
    </cfRule>
  </conditionalFormatting>
  <conditionalFormatting sqref="AK30">
    <cfRule type="cellIs" dxfId="1312" priority="319" operator="lessThan">
      <formula>0</formula>
    </cfRule>
    <cfRule type="cellIs" dxfId="1311" priority="320" operator="greaterThan">
      <formula>0</formula>
    </cfRule>
    <cfRule type="cellIs" dxfId="1310" priority="321" operator="equal">
      <formula>0</formula>
    </cfRule>
  </conditionalFormatting>
  <conditionalFormatting sqref="AN30">
    <cfRule type="cellIs" dxfId="1309" priority="316" operator="lessThan">
      <formula>0</formula>
    </cfRule>
    <cfRule type="cellIs" dxfId="1308" priority="317" operator="greaterThan">
      <formula>0</formula>
    </cfRule>
    <cfRule type="cellIs" dxfId="1307" priority="318" operator="equal">
      <formula>0</formula>
    </cfRule>
  </conditionalFormatting>
  <conditionalFormatting sqref="AT30">
    <cfRule type="cellIs" dxfId="1306" priority="313" operator="lessThan">
      <formula>0</formula>
    </cfRule>
    <cfRule type="cellIs" dxfId="1305" priority="314" operator="greaterThan">
      <formula>0</formula>
    </cfRule>
    <cfRule type="cellIs" dxfId="1304" priority="315" operator="equal">
      <formula>0</formula>
    </cfRule>
  </conditionalFormatting>
  <conditionalFormatting sqref="AQ30">
    <cfRule type="cellIs" dxfId="1303" priority="310" operator="lessThan">
      <formula>0</formula>
    </cfRule>
    <cfRule type="cellIs" dxfId="1302" priority="311" operator="greaterThan">
      <formula>0</formula>
    </cfRule>
    <cfRule type="cellIs" dxfId="1301" priority="312" operator="equal">
      <formula>0</formula>
    </cfRule>
  </conditionalFormatting>
  <conditionalFormatting sqref="AW30">
    <cfRule type="cellIs" dxfId="1300" priority="307" operator="lessThan">
      <formula>0</formula>
    </cfRule>
    <cfRule type="cellIs" dxfId="1299" priority="308" operator="greaterThan">
      <formula>0</formula>
    </cfRule>
    <cfRule type="cellIs" dxfId="1298" priority="309" operator="equal">
      <formula>0</formula>
    </cfRule>
  </conditionalFormatting>
  <conditionalFormatting sqref="AZ30">
    <cfRule type="cellIs" dxfId="1297" priority="304" operator="lessThan">
      <formula>0</formula>
    </cfRule>
    <cfRule type="cellIs" dxfId="1296" priority="305" operator="greaterThan">
      <formula>0</formula>
    </cfRule>
    <cfRule type="cellIs" dxfId="1295" priority="306" operator="equal">
      <formula>0</formula>
    </cfRule>
  </conditionalFormatting>
  <conditionalFormatting sqref="BC30">
    <cfRule type="cellIs" dxfId="1294" priority="301" operator="lessThan">
      <formula>0</formula>
    </cfRule>
    <cfRule type="cellIs" dxfId="1293" priority="302" operator="greaterThan">
      <formula>0</formula>
    </cfRule>
    <cfRule type="cellIs" dxfId="1292" priority="303" operator="equal">
      <formula>0</formula>
    </cfRule>
  </conditionalFormatting>
  <conditionalFormatting sqref="BF30">
    <cfRule type="cellIs" dxfId="1291" priority="298" operator="lessThan">
      <formula>0</formula>
    </cfRule>
    <cfRule type="cellIs" dxfId="1290" priority="299" operator="greaterThan">
      <formula>0</formula>
    </cfRule>
    <cfRule type="cellIs" dxfId="1289" priority="300" operator="equal">
      <formula>0</formula>
    </cfRule>
  </conditionalFormatting>
  <conditionalFormatting sqref="BF40">
    <cfRule type="cellIs" dxfId="1288" priority="295" operator="lessThan">
      <formula>0</formula>
    </cfRule>
    <cfRule type="cellIs" dxfId="1287" priority="296" operator="greaterThan">
      <formula>0</formula>
    </cfRule>
    <cfRule type="cellIs" dxfId="1286" priority="297" operator="equal">
      <formula>0</formula>
    </cfRule>
  </conditionalFormatting>
  <conditionalFormatting sqref="BC40">
    <cfRule type="cellIs" dxfId="1285" priority="292" operator="lessThan">
      <formula>0</formula>
    </cfRule>
    <cfRule type="cellIs" dxfId="1284" priority="293" operator="greaterThan">
      <formula>0</formula>
    </cfRule>
    <cfRule type="cellIs" dxfId="1283" priority="294" operator="equal">
      <formula>0</formula>
    </cfRule>
  </conditionalFormatting>
  <conditionalFormatting sqref="AZ40">
    <cfRule type="cellIs" dxfId="1282" priority="289" operator="lessThan">
      <formula>0</formula>
    </cfRule>
    <cfRule type="cellIs" dxfId="1281" priority="290" operator="greaterThan">
      <formula>0</formula>
    </cfRule>
    <cfRule type="cellIs" dxfId="1280" priority="291" operator="equal">
      <formula>0</formula>
    </cfRule>
  </conditionalFormatting>
  <conditionalFormatting sqref="AW40">
    <cfRule type="cellIs" dxfId="1279" priority="286" operator="lessThan">
      <formula>0</formula>
    </cfRule>
    <cfRule type="cellIs" dxfId="1278" priority="287" operator="greaterThan">
      <formula>0</formula>
    </cfRule>
    <cfRule type="cellIs" dxfId="1277" priority="288" operator="equal">
      <formula>0</formula>
    </cfRule>
  </conditionalFormatting>
  <conditionalFormatting sqref="AT40">
    <cfRule type="cellIs" dxfId="1276" priority="283" operator="lessThan">
      <formula>0</formula>
    </cfRule>
    <cfRule type="cellIs" dxfId="1275" priority="284" operator="greaterThan">
      <formula>0</formula>
    </cfRule>
    <cfRule type="cellIs" dxfId="1274" priority="285" operator="equal">
      <formula>0</formula>
    </cfRule>
  </conditionalFormatting>
  <conditionalFormatting sqref="AQ40">
    <cfRule type="cellIs" dxfId="1273" priority="280" operator="lessThan">
      <formula>0</formula>
    </cfRule>
    <cfRule type="cellIs" dxfId="1272" priority="281" operator="greaterThan">
      <formula>0</formula>
    </cfRule>
    <cfRule type="cellIs" dxfId="1271" priority="282" operator="equal">
      <formula>0</formula>
    </cfRule>
  </conditionalFormatting>
  <conditionalFormatting sqref="AN40">
    <cfRule type="cellIs" dxfId="1270" priority="277" operator="lessThan">
      <formula>0</formula>
    </cfRule>
    <cfRule type="cellIs" dxfId="1269" priority="278" operator="greaterThan">
      <formula>0</formula>
    </cfRule>
    <cfRule type="cellIs" dxfId="1268" priority="279" operator="equal">
      <formula>0</formula>
    </cfRule>
  </conditionalFormatting>
  <conditionalFormatting sqref="AK40">
    <cfRule type="cellIs" dxfId="1267" priority="274" operator="lessThan">
      <formula>0</formula>
    </cfRule>
    <cfRule type="cellIs" dxfId="1266" priority="275" operator="greaterThan">
      <formula>0</formula>
    </cfRule>
    <cfRule type="cellIs" dxfId="1265" priority="276" operator="equal">
      <formula>0</formula>
    </cfRule>
  </conditionalFormatting>
  <conditionalFormatting sqref="AH40">
    <cfRule type="cellIs" dxfId="1264" priority="271" operator="lessThan">
      <formula>0</formula>
    </cfRule>
    <cfRule type="cellIs" dxfId="1263" priority="272" operator="greaterThan">
      <formula>0</formula>
    </cfRule>
    <cfRule type="cellIs" dxfId="1262" priority="273" operator="equal">
      <formula>0</formula>
    </cfRule>
  </conditionalFormatting>
  <conditionalFormatting sqref="AE40">
    <cfRule type="cellIs" dxfId="1261" priority="268" operator="lessThan">
      <formula>0</formula>
    </cfRule>
    <cfRule type="cellIs" dxfId="1260" priority="269" operator="greaterThan">
      <formula>0</formula>
    </cfRule>
    <cfRule type="cellIs" dxfId="1259" priority="270" operator="equal">
      <formula>0</formula>
    </cfRule>
  </conditionalFormatting>
  <conditionalFormatting sqref="AB40">
    <cfRule type="cellIs" dxfId="1258" priority="265" operator="lessThan">
      <formula>0</formula>
    </cfRule>
    <cfRule type="cellIs" dxfId="1257" priority="266" operator="greaterThan">
      <formula>0</formula>
    </cfRule>
    <cfRule type="cellIs" dxfId="1256" priority="267" operator="equal">
      <formula>0</formula>
    </cfRule>
  </conditionalFormatting>
  <conditionalFormatting sqref="AB50">
    <cfRule type="cellIs" dxfId="1255" priority="262" operator="lessThan">
      <formula>0</formula>
    </cfRule>
    <cfRule type="cellIs" dxfId="1254" priority="263" operator="greaterThan">
      <formula>0</formula>
    </cfRule>
    <cfRule type="cellIs" dxfId="1253" priority="264" operator="equal">
      <formula>0</formula>
    </cfRule>
  </conditionalFormatting>
  <conditionalFormatting sqref="AE50">
    <cfRule type="cellIs" dxfId="1252" priority="259" operator="lessThan">
      <formula>0</formula>
    </cfRule>
    <cfRule type="cellIs" dxfId="1251" priority="260" operator="greaterThan">
      <formula>0</formula>
    </cfRule>
    <cfRule type="cellIs" dxfId="1250" priority="261" operator="equal">
      <formula>0</formula>
    </cfRule>
  </conditionalFormatting>
  <conditionalFormatting sqref="AH50">
    <cfRule type="cellIs" dxfId="1249" priority="256" operator="lessThan">
      <formula>0</formula>
    </cfRule>
    <cfRule type="cellIs" dxfId="1248" priority="257" operator="greaterThan">
      <formula>0</formula>
    </cfRule>
    <cfRule type="cellIs" dxfId="1247" priority="258" operator="equal">
      <formula>0</formula>
    </cfRule>
  </conditionalFormatting>
  <conditionalFormatting sqref="AK50">
    <cfRule type="cellIs" dxfId="1246" priority="253" operator="lessThan">
      <formula>0</formula>
    </cfRule>
    <cfRule type="cellIs" dxfId="1245" priority="254" operator="greaterThan">
      <formula>0</formula>
    </cfRule>
    <cfRule type="cellIs" dxfId="1244" priority="255" operator="equal">
      <formula>0</formula>
    </cfRule>
  </conditionalFormatting>
  <conditionalFormatting sqref="AN50">
    <cfRule type="cellIs" dxfId="1243" priority="250" operator="lessThan">
      <formula>0</formula>
    </cfRule>
    <cfRule type="cellIs" dxfId="1242" priority="251" operator="greaterThan">
      <formula>0</formula>
    </cfRule>
    <cfRule type="cellIs" dxfId="1241" priority="252" operator="equal">
      <formula>0</formula>
    </cfRule>
  </conditionalFormatting>
  <conditionalFormatting sqref="AQ50">
    <cfRule type="cellIs" dxfId="1240" priority="247" operator="lessThan">
      <formula>0</formula>
    </cfRule>
    <cfRule type="cellIs" dxfId="1239" priority="248" operator="greaterThan">
      <formula>0</formula>
    </cfRule>
    <cfRule type="cellIs" dxfId="1238" priority="249" operator="equal">
      <formula>0</formula>
    </cfRule>
  </conditionalFormatting>
  <conditionalFormatting sqref="AT50">
    <cfRule type="cellIs" dxfId="1237" priority="244" operator="lessThan">
      <formula>0</formula>
    </cfRule>
    <cfRule type="cellIs" dxfId="1236" priority="245" operator="greaterThan">
      <formula>0</formula>
    </cfRule>
    <cfRule type="cellIs" dxfId="1235" priority="246" operator="equal">
      <formula>0</formula>
    </cfRule>
  </conditionalFormatting>
  <conditionalFormatting sqref="AW50">
    <cfRule type="cellIs" dxfId="1234" priority="241" operator="lessThan">
      <formula>0</formula>
    </cfRule>
    <cfRule type="cellIs" dxfId="1233" priority="242" operator="greaterThan">
      <formula>0</formula>
    </cfRule>
    <cfRule type="cellIs" dxfId="1232" priority="243" operator="equal">
      <formula>0</formula>
    </cfRule>
  </conditionalFormatting>
  <conditionalFormatting sqref="AZ50">
    <cfRule type="cellIs" dxfId="1231" priority="238" operator="lessThan">
      <formula>0</formula>
    </cfRule>
    <cfRule type="cellIs" dxfId="1230" priority="239" operator="greaterThan">
      <formula>0</formula>
    </cfRule>
    <cfRule type="cellIs" dxfId="1229" priority="240" operator="equal">
      <formula>0</formula>
    </cfRule>
  </conditionalFormatting>
  <conditionalFormatting sqref="BC50">
    <cfRule type="cellIs" dxfId="1228" priority="235" operator="lessThan">
      <formula>0</formula>
    </cfRule>
    <cfRule type="cellIs" dxfId="1227" priority="236" operator="greaterThan">
      <formula>0</formula>
    </cfRule>
    <cfRule type="cellIs" dxfId="1226" priority="237" operator="equal">
      <formula>0</formula>
    </cfRule>
  </conditionalFormatting>
  <conditionalFormatting sqref="BF50">
    <cfRule type="cellIs" dxfId="1225" priority="232" operator="lessThan">
      <formula>0</formula>
    </cfRule>
    <cfRule type="cellIs" dxfId="1224" priority="233" operator="greaterThan">
      <formula>0</formula>
    </cfRule>
    <cfRule type="cellIs" dxfId="1223" priority="234" operator="equal">
      <formula>0</formula>
    </cfRule>
  </conditionalFormatting>
  <conditionalFormatting sqref="BF60">
    <cfRule type="cellIs" dxfId="1222" priority="229" operator="lessThan">
      <formula>0</formula>
    </cfRule>
    <cfRule type="cellIs" dxfId="1221" priority="230" operator="greaterThan">
      <formula>0</formula>
    </cfRule>
    <cfRule type="cellIs" dxfId="1220" priority="231" operator="equal">
      <formula>0</formula>
    </cfRule>
  </conditionalFormatting>
  <conditionalFormatting sqref="BC60">
    <cfRule type="cellIs" dxfId="1219" priority="226" operator="lessThan">
      <formula>0</formula>
    </cfRule>
    <cfRule type="cellIs" dxfId="1218" priority="227" operator="greaterThan">
      <formula>0</formula>
    </cfRule>
    <cfRule type="cellIs" dxfId="1217" priority="228" operator="equal">
      <formula>0</formula>
    </cfRule>
  </conditionalFormatting>
  <conditionalFormatting sqref="AZ60">
    <cfRule type="cellIs" dxfId="1216" priority="223" operator="lessThan">
      <formula>0</formula>
    </cfRule>
    <cfRule type="cellIs" dxfId="1215" priority="224" operator="greaterThan">
      <formula>0</formula>
    </cfRule>
    <cfRule type="cellIs" dxfId="1214" priority="225" operator="equal">
      <formula>0</formula>
    </cfRule>
  </conditionalFormatting>
  <conditionalFormatting sqref="AW60">
    <cfRule type="cellIs" dxfId="1213" priority="220" operator="lessThan">
      <formula>0</formula>
    </cfRule>
    <cfRule type="cellIs" dxfId="1212" priority="221" operator="greaterThan">
      <formula>0</formula>
    </cfRule>
    <cfRule type="cellIs" dxfId="1211" priority="222" operator="equal">
      <formula>0</formula>
    </cfRule>
  </conditionalFormatting>
  <conditionalFormatting sqref="AT60">
    <cfRule type="cellIs" dxfId="1210" priority="217" operator="lessThan">
      <formula>0</formula>
    </cfRule>
    <cfRule type="cellIs" dxfId="1209" priority="218" operator="greaterThan">
      <formula>0</formula>
    </cfRule>
    <cfRule type="cellIs" dxfId="1208" priority="219" operator="equal">
      <formula>0</formula>
    </cfRule>
  </conditionalFormatting>
  <conditionalFormatting sqref="AQ60">
    <cfRule type="cellIs" dxfId="1207" priority="214" operator="lessThan">
      <formula>0</formula>
    </cfRule>
    <cfRule type="cellIs" dxfId="1206" priority="215" operator="greaterThan">
      <formula>0</formula>
    </cfRule>
    <cfRule type="cellIs" dxfId="1205" priority="216" operator="equal">
      <formula>0</formula>
    </cfRule>
  </conditionalFormatting>
  <conditionalFormatting sqref="AN60">
    <cfRule type="cellIs" dxfId="1204" priority="211" operator="lessThan">
      <formula>0</formula>
    </cfRule>
    <cfRule type="cellIs" dxfId="1203" priority="212" operator="greaterThan">
      <formula>0</formula>
    </cfRule>
    <cfRule type="cellIs" dxfId="1202" priority="213" operator="equal">
      <formula>0</formula>
    </cfRule>
  </conditionalFormatting>
  <conditionalFormatting sqref="AK60">
    <cfRule type="cellIs" dxfId="1201" priority="208" operator="lessThan">
      <formula>0</formula>
    </cfRule>
    <cfRule type="cellIs" dxfId="1200" priority="209" operator="greaterThan">
      <formula>0</formula>
    </cfRule>
    <cfRule type="cellIs" dxfId="1199" priority="210" operator="equal">
      <formula>0</formula>
    </cfRule>
  </conditionalFormatting>
  <conditionalFormatting sqref="AH60">
    <cfRule type="cellIs" dxfId="1198" priority="205" operator="lessThan">
      <formula>0</formula>
    </cfRule>
    <cfRule type="cellIs" dxfId="1197" priority="206" operator="greaterThan">
      <formula>0</formula>
    </cfRule>
    <cfRule type="cellIs" dxfId="1196" priority="207" operator="equal">
      <formula>0</formula>
    </cfRule>
  </conditionalFormatting>
  <conditionalFormatting sqref="AE60">
    <cfRule type="cellIs" dxfId="1195" priority="202" operator="lessThan">
      <formula>0</formula>
    </cfRule>
    <cfRule type="cellIs" dxfId="1194" priority="203" operator="greaterThan">
      <formula>0</formula>
    </cfRule>
    <cfRule type="cellIs" dxfId="1193" priority="204" operator="equal">
      <formula>0</formula>
    </cfRule>
  </conditionalFormatting>
  <conditionalFormatting sqref="AB60">
    <cfRule type="cellIs" dxfId="1192" priority="199" operator="lessThan">
      <formula>0</formula>
    </cfRule>
    <cfRule type="cellIs" dxfId="1191" priority="200" operator="greaterThan">
      <formula>0</formula>
    </cfRule>
    <cfRule type="cellIs" dxfId="1190" priority="201" operator="equal">
      <formula>0</formula>
    </cfRule>
  </conditionalFormatting>
  <conditionalFormatting sqref="AB70">
    <cfRule type="cellIs" dxfId="1189" priority="196" operator="lessThan">
      <formula>0</formula>
    </cfRule>
    <cfRule type="cellIs" dxfId="1188" priority="197" operator="greaterThan">
      <formula>0</formula>
    </cfRule>
    <cfRule type="cellIs" dxfId="1187" priority="198" operator="equal">
      <formula>0</formula>
    </cfRule>
  </conditionalFormatting>
  <conditionalFormatting sqref="AE70">
    <cfRule type="cellIs" dxfId="1186" priority="193" operator="lessThan">
      <formula>0</formula>
    </cfRule>
    <cfRule type="cellIs" dxfId="1185" priority="194" operator="greaterThan">
      <formula>0</formula>
    </cfRule>
    <cfRule type="cellIs" dxfId="1184" priority="195" operator="equal">
      <formula>0</formula>
    </cfRule>
  </conditionalFormatting>
  <conditionalFormatting sqref="AH70">
    <cfRule type="cellIs" dxfId="1183" priority="190" operator="lessThan">
      <formula>0</formula>
    </cfRule>
    <cfRule type="cellIs" dxfId="1182" priority="191" operator="greaterThan">
      <formula>0</formula>
    </cfRule>
    <cfRule type="cellIs" dxfId="1181" priority="192" operator="equal">
      <formula>0</formula>
    </cfRule>
  </conditionalFormatting>
  <conditionalFormatting sqref="AK70">
    <cfRule type="cellIs" dxfId="1180" priority="187" operator="lessThan">
      <formula>0</formula>
    </cfRule>
    <cfRule type="cellIs" dxfId="1179" priority="188" operator="greaterThan">
      <formula>0</formula>
    </cfRule>
    <cfRule type="cellIs" dxfId="1178" priority="189" operator="equal">
      <formula>0</formula>
    </cfRule>
  </conditionalFormatting>
  <conditionalFormatting sqref="AN70">
    <cfRule type="cellIs" dxfId="1177" priority="184" operator="lessThan">
      <formula>0</formula>
    </cfRule>
    <cfRule type="cellIs" dxfId="1176" priority="185" operator="greaterThan">
      <formula>0</formula>
    </cfRule>
    <cfRule type="cellIs" dxfId="1175" priority="186" operator="equal">
      <formula>0</formula>
    </cfRule>
  </conditionalFormatting>
  <conditionalFormatting sqref="AQ70">
    <cfRule type="cellIs" dxfId="1174" priority="181" operator="lessThan">
      <formula>0</formula>
    </cfRule>
    <cfRule type="cellIs" dxfId="1173" priority="182" operator="greaterThan">
      <formula>0</formula>
    </cfRule>
    <cfRule type="cellIs" dxfId="1172" priority="183" operator="equal">
      <formula>0</formula>
    </cfRule>
  </conditionalFormatting>
  <conditionalFormatting sqref="AT70">
    <cfRule type="cellIs" dxfId="1171" priority="178" operator="lessThan">
      <formula>0</formula>
    </cfRule>
    <cfRule type="cellIs" dxfId="1170" priority="179" operator="greaterThan">
      <formula>0</formula>
    </cfRule>
    <cfRule type="cellIs" dxfId="1169" priority="180" operator="equal">
      <formula>0</formula>
    </cfRule>
  </conditionalFormatting>
  <conditionalFormatting sqref="AW70">
    <cfRule type="cellIs" dxfId="1168" priority="175" operator="lessThan">
      <formula>0</formula>
    </cfRule>
    <cfRule type="cellIs" dxfId="1167" priority="176" operator="greaterThan">
      <formula>0</formula>
    </cfRule>
    <cfRule type="cellIs" dxfId="1166" priority="177" operator="equal">
      <formula>0</formula>
    </cfRule>
  </conditionalFormatting>
  <conditionalFormatting sqref="AZ70">
    <cfRule type="cellIs" dxfId="1165" priority="172" operator="lessThan">
      <formula>0</formula>
    </cfRule>
    <cfRule type="cellIs" dxfId="1164" priority="173" operator="greaterThan">
      <formula>0</formula>
    </cfRule>
    <cfRule type="cellIs" dxfId="1163" priority="174" operator="equal">
      <formula>0</formula>
    </cfRule>
  </conditionalFormatting>
  <conditionalFormatting sqref="BC70">
    <cfRule type="cellIs" dxfId="1162" priority="169" operator="lessThan">
      <formula>0</formula>
    </cfRule>
    <cfRule type="cellIs" dxfId="1161" priority="170" operator="greaterThan">
      <formula>0</formula>
    </cfRule>
    <cfRule type="cellIs" dxfId="1160" priority="171" operator="equal">
      <formula>0</formula>
    </cfRule>
  </conditionalFormatting>
  <conditionalFormatting sqref="BF70">
    <cfRule type="cellIs" dxfId="1159" priority="166" operator="lessThan">
      <formula>0</formula>
    </cfRule>
    <cfRule type="cellIs" dxfId="1158" priority="167" operator="greaterThan">
      <formula>0</formula>
    </cfRule>
    <cfRule type="cellIs" dxfId="1157" priority="168" operator="equal">
      <formula>0</formula>
    </cfRule>
  </conditionalFormatting>
  <conditionalFormatting sqref="BF80">
    <cfRule type="cellIs" dxfId="1156" priority="163" operator="lessThan">
      <formula>0</formula>
    </cfRule>
    <cfRule type="cellIs" dxfId="1155" priority="164" operator="greaterThan">
      <formula>0</formula>
    </cfRule>
    <cfRule type="cellIs" dxfId="1154" priority="165" operator="equal">
      <formula>0</formula>
    </cfRule>
  </conditionalFormatting>
  <conditionalFormatting sqref="BC80">
    <cfRule type="cellIs" dxfId="1153" priority="160" operator="lessThan">
      <formula>0</formula>
    </cfRule>
    <cfRule type="cellIs" dxfId="1152" priority="161" operator="greaterThan">
      <formula>0</formula>
    </cfRule>
    <cfRule type="cellIs" dxfId="1151" priority="162" operator="equal">
      <formula>0</formula>
    </cfRule>
  </conditionalFormatting>
  <conditionalFormatting sqref="AZ80">
    <cfRule type="cellIs" dxfId="1150" priority="157" operator="lessThan">
      <formula>0</formula>
    </cfRule>
    <cfRule type="cellIs" dxfId="1149" priority="158" operator="greaterThan">
      <formula>0</formula>
    </cfRule>
    <cfRule type="cellIs" dxfId="1148" priority="159" operator="equal">
      <formula>0</formula>
    </cfRule>
  </conditionalFormatting>
  <conditionalFormatting sqref="AW80">
    <cfRule type="cellIs" dxfId="1147" priority="154" operator="lessThan">
      <formula>0</formula>
    </cfRule>
    <cfRule type="cellIs" dxfId="1146" priority="155" operator="greaterThan">
      <formula>0</formula>
    </cfRule>
    <cfRule type="cellIs" dxfId="1145" priority="156" operator="equal">
      <formula>0</formula>
    </cfRule>
  </conditionalFormatting>
  <conditionalFormatting sqref="AT80">
    <cfRule type="cellIs" dxfId="1144" priority="151" operator="lessThan">
      <formula>0</formula>
    </cfRule>
    <cfRule type="cellIs" dxfId="1143" priority="152" operator="greaterThan">
      <formula>0</formula>
    </cfRule>
    <cfRule type="cellIs" dxfId="1142" priority="153" operator="equal">
      <formula>0</formula>
    </cfRule>
  </conditionalFormatting>
  <conditionalFormatting sqref="AQ80">
    <cfRule type="cellIs" dxfId="1141" priority="148" operator="lessThan">
      <formula>0</formula>
    </cfRule>
    <cfRule type="cellIs" dxfId="1140" priority="149" operator="greaterThan">
      <formula>0</formula>
    </cfRule>
    <cfRule type="cellIs" dxfId="1139" priority="150" operator="equal">
      <formula>0</formula>
    </cfRule>
  </conditionalFormatting>
  <conditionalFormatting sqref="AN80">
    <cfRule type="cellIs" dxfId="1138" priority="145" operator="lessThan">
      <formula>0</formula>
    </cfRule>
    <cfRule type="cellIs" dxfId="1137" priority="146" operator="greaterThan">
      <formula>0</formula>
    </cfRule>
    <cfRule type="cellIs" dxfId="1136" priority="147" operator="equal">
      <formula>0</formula>
    </cfRule>
  </conditionalFormatting>
  <conditionalFormatting sqref="AK80">
    <cfRule type="cellIs" dxfId="1135" priority="142" operator="lessThan">
      <formula>0</formula>
    </cfRule>
    <cfRule type="cellIs" dxfId="1134" priority="143" operator="greaterThan">
      <formula>0</formula>
    </cfRule>
    <cfRule type="cellIs" dxfId="1133" priority="144" operator="equal">
      <formula>0</formula>
    </cfRule>
  </conditionalFormatting>
  <conditionalFormatting sqref="AH80">
    <cfRule type="cellIs" dxfId="1132" priority="139" operator="lessThan">
      <formula>0</formula>
    </cfRule>
    <cfRule type="cellIs" dxfId="1131" priority="140" operator="greaterThan">
      <formula>0</formula>
    </cfRule>
    <cfRule type="cellIs" dxfId="1130" priority="141" operator="equal">
      <formula>0</formula>
    </cfRule>
  </conditionalFormatting>
  <conditionalFormatting sqref="AE80">
    <cfRule type="cellIs" dxfId="1129" priority="136" operator="lessThan">
      <formula>0</formula>
    </cfRule>
    <cfRule type="cellIs" dxfId="1128" priority="137" operator="greaterThan">
      <formula>0</formula>
    </cfRule>
    <cfRule type="cellIs" dxfId="1127" priority="138" operator="equal">
      <formula>0</formula>
    </cfRule>
  </conditionalFormatting>
  <conditionalFormatting sqref="AB80">
    <cfRule type="cellIs" dxfId="1126" priority="133" operator="lessThan">
      <formula>0</formula>
    </cfRule>
    <cfRule type="cellIs" dxfId="1125" priority="134" operator="greaterThan">
      <formula>0</formula>
    </cfRule>
    <cfRule type="cellIs" dxfId="1124" priority="135" operator="equal">
      <formula>0</formula>
    </cfRule>
  </conditionalFormatting>
  <conditionalFormatting sqref="AB90">
    <cfRule type="cellIs" dxfId="1123" priority="130" operator="lessThan">
      <formula>0</formula>
    </cfRule>
    <cfRule type="cellIs" dxfId="1122" priority="131" operator="greaterThan">
      <formula>0</formula>
    </cfRule>
    <cfRule type="cellIs" dxfId="1121" priority="132" operator="equal">
      <formula>0</formula>
    </cfRule>
  </conditionalFormatting>
  <conditionalFormatting sqref="AE90">
    <cfRule type="cellIs" dxfId="1120" priority="127" operator="lessThan">
      <formula>0</formula>
    </cfRule>
    <cfRule type="cellIs" dxfId="1119" priority="128" operator="greaterThan">
      <formula>0</formula>
    </cfRule>
    <cfRule type="cellIs" dxfId="1118" priority="129" operator="equal">
      <formula>0</formula>
    </cfRule>
  </conditionalFormatting>
  <conditionalFormatting sqref="AH90">
    <cfRule type="cellIs" dxfId="1117" priority="124" operator="lessThan">
      <formula>0</formula>
    </cfRule>
    <cfRule type="cellIs" dxfId="1116" priority="125" operator="greaterThan">
      <formula>0</formula>
    </cfRule>
    <cfRule type="cellIs" dxfId="1115" priority="126" operator="equal">
      <formula>0</formula>
    </cfRule>
  </conditionalFormatting>
  <conditionalFormatting sqref="AK90">
    <cfRule type="cellIs" dxfId="1114" priority="121" operator="lessThan">
      <formula>0</formula>
    </cfRule>
    <cfRule type="cellIs" dxfId="1113" priority="122" operator="greaterThan">
      <formula>0</formula>
    </cfRule>
    <cfRule type="cellIs" dxfId="1112" priority="123" operator="equal">
      <formula>0</formula>
    </cfRule>
  </conditionalFormatting>
  <conditionalFormatting sqref="AN90">
    <cfRule type="cellIs" dxfId="1111" priority="118" operator="lessThan">
      <formula>0</formula>
    </cfRule>
    <cfRule type="cellIs" dxfId="1110" priority="119" operator="greaterThan">
      <formula>0</formula>
    </cfRule>
    <cfRule type="cellIs" dxfId="1109" priority="120" operator="equal">
      <formula>0</formula>
    </cfRule>
  </conditionalFormatting>
  <conditionalFormatting sqref="AQ90">
    <cfRule type="cellIs" dxfId="1108" priority="115" operator="lessThan">
      <formula>0</formula>
    </cfRule>
    <cfRule type="cellIs" dxfId="1107" priority="116" operator="greaterThan">
      <formula>0</formula>
    </cfRule>
    <cfRule type="cellIs" dxfId="1106" priority="117" operator="equal">
      <formula>0</formula>
    </cfRule>
  </conditionalFormatting>
  <conditionalFormatting sqref="AT90">
    <cfRule type="cellIs" dxfId="1105" priority="112" operator="lessThan">
      <formula>0</formula>
    </cfRule>
    <cfRule type="cellIs" dxfId="1104" priority="113" operator="greaterThan">
      <formula>0</formula>
    </cfRule>
    <cfRule type="cellIs" dxfId="1103" priority="114" operator="equal">
      <formula>0</formula>
    </cfRule>
  </conditionalFormatting>
  <conditionalFormatting sqref="AW90">
    <cfRule type="cellIs" dxfId="1102" priority="109" operator="lessThan">
      <formula>0</formula>
    </cfRule>
    <cfRule type="cellIs" dxfId="1101" priority="110" operator="greaterThan">
      <formula>0</formula>
    </cfRule>
    <cfRule type="cellIs" dxfId="1100" priority="111" operator="equal">
      <formula>0</formula>
    </cfRule>
  </conditionalFormatting>
  <conditionalFormatting sqref="AZ90">
    <cfRule type="cellIs" dxfId="1099" priority="106" operator="lessThan">
      <formula>0</formula>
    </cfRule>
    <cfRule type="cellIs" dxfId="1098" priority="107" operator="greaterThan">
      <formula>0</formula>
    </cfRule>
    <cfRule type="cellIs" dxfId="1097" priority="108" operator="equal">
      <formula>0</formula>
    </cfRule>
  </conditionalFormatting>
  <conditionalFormatting sqref="BC90">
    <cfRule type="cellIs" dxfId="1096" priority="103" operator="lessThan">
      <formula>0</formula>
    </cfRule>
    <cfRule type="cellIs" dxfId="1095" priority="104" operator="greaterThan">
      <formula>0</formula>
    </cfRule>
    <cfRule type="cellIs" dxfId="1094" priority="105" operator="equal">
      <formula>0</formula>
    </cfRule>
  </conditionalFormatting>
  <conditionalFormatting sqref="BF90">
    <cfRule type="cellIs" dxfId="1093" priority="100" operator="lessThan">
      <formula>0</formula>
    </cfRule>
    <cfRule type="cellIs" dxfId="1092" priority="101" operator="greaterThan">
      <formula>0</formula>
    </cfRule>
    <cfRule type="cellIs" dxfId="1091" priority="102" operator="equal">
      <formula>0</formula>
    </cfRule>
  </conditionalFormatting>
  <conditionalFormatting sqref="BF100">
    <cfRule type="cellIs" dxfId="1090" priority="97" operator="lessThan">
      <formula>0</formula>
    </cfRule>
    <cfRule type="cellIs" dxfId="1089" priority="98" operator="greaterThan">
      <formula>0</formula>
    </cfRule>
    <cfRule type="cellIs" dxfId="1088" priority="99" operator="equal">
      <formula>0</formula>
    </cfRule>
  </conditionalFormatting>
  <conditionalFormatting sqref="BC100">
    <cfRule type="cellIs" dxfId="1087" priority="94" operator="lessThan">
      <formula>0</formula>
    </cfRule>
    <cfRule type="cellIs" dxfId="1086" priority="95" operator="greaterThan">
      <formula>0</formula>
    </cfRule>
    <cfRule type="cellIs" dxfId="1085" priority="96" operator="equal">
      <formula>0</formula>
    </cfRule>
  </conditionalFormatting>
  <conditionalFormatting sqref="AZ100">
    <cfRule type="cellIs" dxfId="1084" priority="91" operator="lessThan">
      <formula>0</formula>
    </cfRule>
    <cfRule type="cellIs" dxfId="1083" priority="92" operator="greaterThan">
      <formula>0</formula>
    </cfRule>
    <cfRule type="cellIs" dxfId="1082" priority="93" operator="equal">
      <formula>0</formula>
    </cfRule>
  </conditionalFormatting>
  <conditionalFormatting sqref="AW100">
    <cfRule type="cellIs" dxfId="1081" priority="88" operator="lessThan">
      <formula>0</formula>
    </cfRule>
    <cfRule type="cellIs" dxfId="1080" priority="89" operator="greaterThan">
      <formula>0</formula>
    </cfRule>
    <cfRule type="cellIs" dxfId="1079" priority="90" operator="equal">
      <formula>0</formula>
    </cfRule>
  </conditionalFormatting>
  <conditionalFormatting sqref="AT100">
    <cfRule type="cellIs" dxfId="1078" priority="85" operator="lessThan">
      <formula>0</formula>
    </cfRule>
    <cfRule type="cellIs" dxfId="1077" priority="86" operator="greaterThan">
      <formula>0</formula>
    </cfRule>
    <cfRule type="cellIs" dxfId="1076" priority="87" operator="equal">
      <formula>0</formula>
    </cfRule>
  </conditionalFormatting>
  <conditionalFormatting sqref="AQ100">
    <cfRule type="cellIs" dxfId="1075" priority="82" operator="lessThan">
      <formula>0</formula>
    </cfRule>
    <cfRule type="cellIs" dxfId="1074" priority="83" operator="greaterThan">
      <formula>0</formula>
    </cfRule>
    <cfRule type="cellIs" dxfId="1073" priority="84" operator="equal">
      <formula>0</formula>
    </cfRule>
  </conditionalFormatting>
  <conditionalFormatting sqref="AN100">
    <cfRule type="cellIs" dxfId="1072" priority="79" operator="lessThan">
      <formula>0</formula>
    </cfRule>
    <cfRule type="cellIs" dxfId="1071" priority="80" operator="greaterThan">
      <formula>0</formula>
    </cfRule>
    <cfRule type="cellIs" dxfId="1070" priority="81" operator="equal">
      <formula>0</formula>
    </cfRule>
  </conditionalFormatting>
  <conditionalFormatting sqref="AK100">
    <cfRule type="cellIs" dxfId="1069" priority="76" operator="lessThan">
      <formula>0</formula>
    </cfRule>
    <cfRule type="cellIs" dxfId="1068" priority="77" operator="greaterThan">
      <formula>0</formula>
    </cfRule>
    <cfRule type="cellIs" dxfId="1067" priority="78" operator="equal">
      <formula>0</formula>
    </cfRule>
  </conditionalFormatting>
  <conditionalFormatting sqref="AH100">
    <cfRule type="cellIs" dxfId="1066" priority="73" operator="lessThan">
      <formula>0</formula>
    </cfRule>
    <cfRule type="cellIs" dxfId="1065" priority="74" operator="greaterThan">
      <formula>0</formula>
    </cfRule>
    <cfRule type="cellIs" dxfId="1064" priority="75" operator="equal">
      <formula>0</formula>
    </cfRule>
  </conditionalFormatting>
  <conditionalFormatting sqref="AE100">
    <cfRule type="cellIs" dxfId="1063" priority="70" operator="lessThan">
      <formula>0</formula>
    </cfRule>
    <cfRule type="cellIs" dxfId="1062" priority="71" operator="greaterThan">
      <formula>0</formula>
    </cfRule>
    <cfRule type="cellIs" dxfId="1061" priority="72" operator="equal">
      <formula>0</formula>
    </cfRule>
  </conditionalFormatting>
  <conditionalFormatting sqref="AB100">
    <cfRule type="cellIs" dxfId="1060" priority="67" operator="lessThan">
      <formula>0</formula>
    </cfRule>
    <cfRule type="cellIs" dxfId="1059" priority="68" operator="greaterThan">
      <formula>0</formula>
    </cfRule>
    <cfRule type="cellIs" dxfId="1058" priority="69" operator="equal">
      <formula>0</formula>
    </cfRule>
  </conditionalFormatting>
  <conditionalFormatting sqref="AB110">
    <cfRule type="cellIs" dxfId="1057" priority="64" operator="lessThan">
      <formula>0</formula>
    </cfRule>
    <cfRule type="cellIs" dxfId="1056" priority="65" operator="greaterThan">
      <formula>0</formula>
    </cfRule>
    <cfRule type="cellIs" dxfId="1055" priority="66" operator="equal">
      <formula>0</formula>
    </cfRule>
  </conditionalFormatting>
  <conditionalFormatting sqref="AE110">
    <cfRule type="cellIs" dxfId="1054" priority="61" operator="lessThan">
      <formula>0</formula>
    </cfRule>
    <cfRule type="cellIs" dxfId="1053" priority="62" operator="greaterThan">
      <formula>0</formula>
    </cfRule>
    <cfRule type="cellIs" dxfId="1052" priority="63" operator="equal">
      <formula>0</formula>
    </cfRule>
  </conditionalFormatting>
  <conditionalFormatting sqref="AH110">
    <cfRule type="cellIs" dxfId="1051" priority="58" operator="lessThan">
      <formula>0</formula>
    </cfRule>
    <cfRule type="cellIs" dxfId="1050" priority="59" operator="greaterThan">
      <formula>0</formula>
    </cfRule>
    <cfRule type="cellIs" dxfId="1049" priority="60" operator="equal">
      <formula>0</formula>
    </cfRule>
  </conditionalFormatting>
  <conditionalFormatting sqref="AK110">
    <cfRule type="cellIs" dxfId="1048" priority="55" operator="lessThan">
      <formula>0</formula>
    </cfRule>
    <cfRule type="cellIs" dxfId="1047" priority="56" operator="greaterThan">
      <formula>0</formula>
    </cfRule>
    <cfRule type="cellIs" dxfId="1046" priority="57" operator="equal">
      <formula>0</formula>
    </cfRule>
  </conditionalFormatting>
  <conditionalFormatting sqref="AN110">
    <cfRule type="cellIs" dxfId="1045" priority="52" operator="lessThan">
      <formula>0</formula>
    </cfRule>
    <cfRule type="cellIs" dxfId="1044" priority="53" operator="greaterThan">
      <formula>0</formula>
    </cfRule>
    <cfRule type="cellIs" dxfId="1043" priority="54" operator="equal">
      <formula>0</formula>
    </cfRule>
  </conditionalFormatting>
  <conditionalFormatting sqref="AQ110">
    <cfRule type="cellIs" dxfId="1042" priority="49" operator="lessThan">
      <formula>0</formula>
    </cfRule>
    <cfRule type="cellIs" dxfId="1041" priority="50" operator="greaterThan">
      <formula>0</formula>
    </cfRule>
    <cfRule type="cellIs" dxfId="1040" priority="51" operator="equal">
      <formula>0</formula>
    </cfRule>
  </conditionalFormatting>
  <conditionalFormatting sqref="AT110">
    <cfRule type="cellIs" dxfId="1039" priority="46" operator="lessThan">
      <formula>0</formula>
    </cfRule>
    <cfRule type="cellIs" dxfId="1038" priority="47" operator="greaterThan">
      <formula>0</formula>
    </cfRule>
    <cfRule type="cellIs" dxfId="1037" priority="48" operator="equal">
      <formula>0</formula>
    </cfRule>
  </conditionalFormatting>
  <conditionalFormatting sqref="AW110">
    <cfRule type="cellIs" dxfId="1036" priority="43" operator="lessThan">
      <formula>0</formula>
    </cfRule>
    <cfRule type="cellIs" dxfId="1035" priority="44" operator="greaterThan">
      <formula>0</formula>
    </cfRule>
    <cfRule type="cellIs" dxfId="1034" priority="45" operator="equal">
      <formula>0</formula>
    </cfRule>
  </conditionalFormatting>
  <conditionalFormatting sqref="AZ110">
    <cfRule type="cellIs" dxfId="1033" priority="40" operator="lessThan">
      <formula>0</formula>
    </cfRule>
    <cfRule type="cellIs" dxfId="1032" priority="41" operator="greaterThan">
      <formula>0</formula>
    </cfRule>
    <cfRule type="cellIs" dxfId="1031" priority="42" operator="equal">
      <formula>0</formula>
    </cfRule>
  </conditionalFormatting>
  <conditionalFormatting sqref="BC110">
    <cfRule type="cellIs" dxfId="1030" priority="37" operator="lessThan">
      <formula>0</formula>
    </cfRule>
    <cfRule type="cellIs" dxfId="1029" priority="38" operator="greaterThan">
      <formula>0</formula>
    </cfRule>
    <cfRule type="cellIs" dxfId="1028" priority="39" operator="equal">
      <formula>0</formula>
    </cfRule>
  </conditionalFormatting>
  <conditionalFormatting sqref="BF110">
    <cfRule type="cellIs" dxfId="1027" priority="34" operator="lessThan">
      <formula>0</formula>
    </cfRule>
    <cfRule type="cellIs" dxfId="1026" priority="35" operator="greaterThan">
      <formula>0</formula>
    </cfRule>
    <cfRule type="cellIs" dxfId="1025" priority="36" operator="equal">
      <formula>0</formula>
    </cfRule>
  </conditionalFormatting>
  <conditionalFormatting sqref="BF120">
    <cfRule type="cellIs" dxfId="1024" priority="31" operator="lessThan">
      <formula>0</formula>
    </cfRule>
    <cfRule type="cellIs" dxfId="1023" priority="32" operator="greaterThan">
      <formula>0</formula>
    </cfRule>
    <cfRule type="cellIs" dxfId="1022" priority="33" operator="equal">
      <formula>0</formula>
    </cfRule>
  </conditionalFormatting>
  <conditionalFormatting sqref="AZ120">
    <cfRule type="cellIs" dxfId="1021" priority="25" operator="lessThan">
      <formula>0</formula>
    </cfRule>
    <cfRule type="cellIs" dxfId="1020" priority="26" operator="greaterThan">
      <formula>0</formula>
    </cfRule>
    <cfRule type="cellIs" dxfId="1019" priority="27" operator="equal">
      <formula>0</formula>
    </cfRule>
  </conditionalFormatting>
  <conditionalFormatting sqref="AW120">
    <cfRule type="cellIs" dxfId="1018" priority="22" operator="lessThan">
      <formula>0</formula>
    </cfRule>
    <cfRule type="cellIs" dxfId="1017" priority="23" operator="greaterThan">
      <formula>0</formula>
    </cfRule>
    <cfRule type="cellIs" dxfId="1016" priority="24" operator="equal">
      <formula>0</formula>
    </cfRule>
  </conditionalFormatting>
  <conditionalFormatting sqref="AT120">
    <cfRule type="cellIs" dxfId="1015" priority="19" operator="lessThan">
      <formula>0</formula>
    </cfRule>
    <cfRule type="cellIs" dxfId="1014" priority="20" operator="greaterThan">
      <formula>0</formula>
    </cfRule>
    <cfRule type="cellIs" dxfId="1013" priority="21" operator="equal">
      <formula>0</formula>
    </cfRule>
  </conditionalFormatting>
  <conditionalFormatting sqref="AQ120">
    <cfRule type="cellIs" dxfId="1012" priority="16" operator="lessThan">
      <formula>0</formula>
    </cfRule>
    <cfRule type="cellIs" dxfId="1011" priority="17" operator="greaterThan">
      <formula>0</formula>
    </cfRule>
    <cfRule type="cellIs" dxfId="1010" priority="18" operator="equal">
      <formula>0</formula>
    </cfRule>
  </conditionalFormatting>
  <conditionalFormatting sqref="AN120">
    <cfRule type="cellIs" dxfId="1009" priority="13" operator="lessThan">
      <formula>0</formula>
    </cfRule>
    <cfRule type="cellIs" dxfId="1008" priority="14" operator="greaterThan">
      <formula>0</formula>
    </cfRule>
    <cfRule type="cellIs" dxfId="1007" priority="15" operator="equal">
      <formula>0</formula>
    </cfRule>
  </conditionalFormatting>
  <conditionalFormatting sqref="AK120">
    <cfRule type="cellIs" dxfId="1006" priority="10" operator="lessThan">
      <formula>0</formula>
    </cfRule>
    <cfRule type="cellIs" dxfId="1005" priority="11" operator="greaterThan">
      <formula>0</formula>
    </cfRule>
    <cfRule type="cellIs" dxfId="1004" priority="12" operator="equal">
      <formula>0</formula>
    </cfRule>
  </conditionalFormatting>
  <conditionalFormatting sqref="AH120">
    <cfRule type="cellIs" dxfId="1003" priority="7" operator="lessThan">
      <formula>0</formula>
    </cfRule>
    <cfRule type="cellIs" dxfId="1002" priority="8" operator="greaterThan">
      <formula>0</formula>
    </cfRule>
    <cfRule type="cellIs" dxfId="1001" priority="9" operator="equal">
      <formula>0</formula>
    </cfRule>
  </conditionalFormatting>
  <conditionalFormatting sqref="AE120">
    <cfRule type="cellIs" dxfId="1000" priority="4" operator="lessThan">
      <formula>0</formula>
    </cfRule>
    <cfRule type="cellIs" dxfId="999" priority="5" operator="greaterThan">
      <formula>0</formula>
    </cfRule>
    <cfRule type="cellIs" dxfId="998" priority="6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D39"/>
  <sheetViews>
    <sheetView tabSelected="1" topLeftCell="P2" zoomScaleNormal="100" workbookViewId="0">
      <selection activeCell="AD7" sqref="AD7"/>
    </sheetView>
  </sheetViews>
  <sheetFormatPr defaultRowHeight="15" x14ac:dyDescent="0.25"/>
  <cols>
    <col min="1" max="1" width="9.140625" style="53"/>
    <col min="2" max="2" width="9.5703125" style="53" customWidth="1"/>
    <col min="3" max="3" width="10.140625" style="53" customWidth="1"/>
    <col min="4" max="4" width="10.42578125" style="53" customWidth="1"/>
    <col min="5" max="5" width="12" style="53" customWidth="1"/>
    <col min="6" max="6" width="11.5703125" style="53" customWidth="1"/>
    <col min="7" max="7" width="9.140625" style="53"/>
    <col min="8" max="8" width="14.42578125" style="53" customWidth="1"/>
    <col min="9" max="9" width="9.42578125" style="53" customWidth="1"/>
    <col min="10" max="10" width="10" style="53" customWidth="1"/>
    <col min="11" max="11" width="11.85546875" style="53" customWidth="1"/>
    <col min="12" max="12" width="11" style="53" customWidth="1"/>
    <col min="13" max="13" width="9.140625" style="53" customWidth="1"/>
    <col min="14" max="14" width="10.42578125" style="53" customWidth="1"/>
    <col min="15" max="15" width="10.140625" style="53" customWidth="1"/>
    <col min="16" max="16" width="10.28515625" style="53" customWidth="1"/>
    <col min="17" max="17" width="14" style="53" customWidth="1"/>
    <col min="18" max="18" width="10.42578125" style="53" customWidth="1"/>
    <col min="19" max="19" width="9.140625" style="53"/>
    <col min="20" max="20" width="15.140625" style="53" customWidth="1"/>
    <col min="21" max="21" width="17" style="53" customWidth="1"/>
    <col min="22" max="22" width="8.28515625" style="53" customWidth="1"/>
    <col min="23" max="23" width="7.5703125" style="53" customWidth="1"/>
    <col min="24" max="24" width="7.7109375" style="53" customWidth="1"/>
    <col min="25" max="25" width="7.42578125" style="53" customWidth="1"/>
    <col min="26" max="26" width="7.85546875" style="53" customWidth="1"/>
    <col min="27" max="27" width="8.42578125" style="53" customWidth="1"/>
    <col min="28" max="28" width="8.85546875" style="53" customWidth="1"/>
    <col min="29" max="29" width="9.42578125" style="53" customWidth="1"/>
    <col min="30" max="30" width="12.85546875" style="53" customWidth="1"/>
    <col min="31" max="31" width="10.28515625" style="53" customWidth="1"/>
    <col min="32" max="32" width="10" style="53" bestFit="1" customWidth="1"/>
    <col min="33" max="33" width="10.28515625" style="53" customWidth="1"/>
    <col min="34" max="34" width="10.140625" style="53" customWidth="1"/>
    <col min="35" max="35" width="9.85546875" style="53" customWidth="1"/>
    <col min="36" max="36" width="14" style="53" customWidth="1"/>
    <col min="37" max="37" width="10.140625" style="53" customWidth="1"/>
    <col min="38" max="16384" width="9.140625" style="53"/>
  </cols>
  <sheetData>
    <row r="3" spans="2:30" ht="24" customHeight="1" x14ac:dyDescent="0.25">
      <c r="B3" s="250" t="s">
        <v>27</v>
      </c>
      <c r="C3" s="251"/>
      <c r="D3" s="251"/>
      <c r="E3" s="251"/>
      <c r="F3" s="252"/>
      <c r="H3" s="274" t="s">
        <v>29</v>
      </c>
      <c r="I3" s="275"/>
      <c r="J3" s="275"/>
      <c r="K3" s="275"/>
      <c r="L3" s="276"/>
      <c r="N3" s="250" t="s">
        <v>32</v>
      </c>
      <c r="O3" s="251"/>
      <c r="P3" s="251"/>
      <c r="Q3" s="251"/>
      <c r="R3" s="252"/>
      <c r="T3" s="124" t="s">
        <v>80</v>
      </c>
      <c r="U3" s="124" t="s">
        <v>43</v>
      </c>
      <c r="V3" s="124" t="s">
        <v>27</v>
      </c>
      <c r="W3" s="124" t="s">
        <v>29</v>
      </c>
      <c r="X3" s="124" t="s">
        <v>30</v>
      </c>
      <c r="Y3" s="124" t="s">
        <v>31</v>
      </c>
      <c r="Z3" s="124" t="s">
        <v>32</v>
      </c>
      <c r="AA3" s="124" t="s">
        <v>33</v>
      </c>
      <c r="AB3" s="124" t="s">
        <v>34</v>
      </c>
      <c r="AC3" s="124" t="s">
        <v>120</v>
      </c>
      <c r="AD3" s="124" t="s">
        <v>168</v>
      </c>
    </row>
    <row r="4" spans="2:30" ht="18.75" customHeight="1" x14ac:dyDescent="0.25">
      <c r="B4" s="142" t="s">
        <v>36</v>
      </c>
      <c r="C4" s="143" t="s">
        <v>28</v>
      </c>
      <c r="D4" s="144" t="s">
        <v>37</v>
      </c>
      <c r="E4" s="145" t="s">
        <v>38</v>
      </c>
      <c r="F4" s="146" t="s">
        <v>39</v>
      </c>
      <c r="H4" s="142" t="s">
        <v>36</v>
      </c>
      <c r="I4" s="143" t="s">
        <v>28</v>
      </c>
      <c r="J4" s="144" t="s">
        <v>37</v>
      </c>
      <c r="K4" s="145" t="s">
        <v>38</v>
      </c>
      <c r="L4" s="146" t="s">
        <v>39</v>
      </c>
      <c r="N4" s="142" t="s">
        <v>36</v>
      </c>
      <c r="O4" s="143" t="s">
        <v>28</v>
      </c>
      <c r="P4" s="144" t="s">
        <v>37</v>
      </c>
      <c r="Q4" s="145" t="s">
        <v>38</v>
      </c>
      <c r="R4" s="146" t="s">
        <v>39</v>
      </c>
      <c r="T4" s="110" t="s">
        <v>68</v>
      </c>
      <c r="U4" s="75">
        <f>COUNTIF(JOURNAL!F:F,"1")</f>
        <v>0</v>
      </c>
      <c r="V4" s="75">
        <f>COUNTIFS(JOURNAL!F:F,"1",JOURNAL!O:O,"TP")</f>
        <v>0</v>
      </c>
      <c r="W4" s="75">
        <f>COUNTIFS(JOURNAL!F:F,"1",JOURNAL!O:O,"SL")</f>
        <v>0</v>
      </c>
      <c r="X4" s="75">
        <f>COUNTIFS(JOURNAL!F:F,"1",JOURNAL!O:O,"PS")</f>
        <v>0</v>
      </c>
      <c r="Y4" s="75">
        <f>COUNTIFS(JOURNAL!F:F,"1",JOURNAL!O:O,"LS")</f>
        <v>0</v>
      </c>
      <c r="Z4" s="75">
        <f>COUNTIFS(JOURNAL!F:F,"1",JOURNAL!O:O,"RF")</f>
        <v>0</v>
      </c>
      <c r="AA4" s="75">
        <f>COUNTIFS(JOURNAL!F:F,"1",JOURNAL!O:O,"OT +")</f>
        <v>0</v>
      </c>
      <c r="AB4" s="75">
        <f>COUNTIFS(JOURNAL!F:F,"1",JOURNAL!O:O,"OT -")</f>
        <v>0</v>
      </c>
      <c r="AC4" s="76" t="e">
        <f t="shared" ref="AC4:AC15" si="0">SUM(V4,X4,Z4,AA4)/U4</f>
        <v>#DIV/0!</v>
      </c>
      <c r="AD4" s="80" t="e">
        <f>SMALL(AC4:AC15,12)</f>
        <v>#DIV/0!</v>
      </c>
    </row>
    <row r="5" spans="2:30" ht="18.75" customHeight="1" x14ac:dyDescent="0.25">
      <c r="B5" s="48">
        <f>COUNTIFS(JOURNAL!O:O,"TP",JOURNAL!P:P,"SF")</f>
        <v>0</v>
      </c>
      <c r="C5" s="48">
        <f>COUNTIFS(JOURNAL!O:O,"TP",JOURNAL!P:P,"TC")</f>
        <v>0</v>
      </c>
      <c r="D5" s="48">
        <f>COUNTIFS(JOURNAL!O:O,"TP",JOURNAL!P:P,"DC")</f>
        <v>0</v>
      </c>
      <c r="E5" s="48">
        <f>COUNTIFS(JOURNAL!O:O,"TP",JOURNAL!P:P,"Keep Went")</f>
        <v>0</v>
      </c>
      <c r="F5" s="48">
        <f>COUNTIFS(JOURNAL!O:O,"TP",JOURNAL!P:P,"RNG")</f>
        <v>0</v>
      </c>
      <c r="H5" s="48">
        <f>COUNTIFS(JOURNAL!O:O,"SL",JOURNAL!P:P,"SF")</f>
        <v>0</v>
      </c>
      <c r="I5" s="48">
        <f>COUNTIFS(JOURNAL!O:O,"SL",JOURNAL!P:P,"TC")</f>
        <v>0</v>
      </c>
      <c r="J5" s="48">
        <f>COUNTIFS(JOURNAL!O:O,"SL",JOURNAL!P:P,"DC")</f>
        <v>0</v>
      </c>
      <c r="K5" s="48">
        <f>COUNTIFS(JOURNAL!O:O,"SL",JOURNAL!P:P,"Keep Went")</f>
        <v>0</v>
      </c>
      <c r="L5" s="48">
        <f>COUNTIFS(JOURNAL!O:O,"SL",JOURNAL!P:P,"RNG")</f>
        <v>0</v>
      </c>
      <c r="N5" s="48">
        <f>COUNTIFS(JOURNAL!O:O,"RF",JOURNAL!P:P,"SF")</f>
        <v>0</v>
      </c>
      <c r="O5" s="48">
        <f>COUNTIFS(JOURNAL!O:O,"RF",JOURNAL!P:P,"TC")</f>
        <v>0</v>
      </c>
      <c r="P5" s="48">
        <f>COUNTIFS(JOURNAL!O:O,"RF",JOURNAL!P:P,"DC")</f>
        <v>0</v>
      </c>
      <c r="Q5" s="48">
        <f>COUNTIFS(JOURNAL!O:O,"RF",JOURNAL!P:P,"keep Went")</f>
        <v>0</v>
      </c>
      <c r="R5" s="48">
        <f>COUNTIFS(JOURNAL!O:O,"RF",JOURNAL!P:P,"RNG")</f>
        <v>0</v>
      </c>
      <c r="T5" s="110" t="s">
        <v>69</v>
      </c>
      <c r="U5" s="167">
        <f>COUNTIF(JOURNAL!F:F,"2")</f>
        <v>0</v>
      </c>
      <c r="V5" s="48">
        <f>COUNTIFS(JOURNAL!F:F,"2",JOURNAL!O:O,"TP")</f>
        <v>0</v>
      </c>
      <c r="W5" s="48">
        <f>COUNTIFS(JOURNAL!F:F,"2",JOURNAL!O:O,"SL")</f>
        <v>0</v>
      </c>
      <c r="X5" s="48">
        <f>COUNTIFS(JOURNAL!F:F,"2",JOURNAL!O:O,"PS")</f>
        <v>0</v>
      </c>
      <c r="Y5" s="48">
        <f>COUNTIFS(JOURNAL!F:F,"2",JOURNAL!O:O,"LS")</f>
        <v>0</v>
      </c>
      <c r="Z5" s="48">
        <f>COUNTIFS(JOURNAL!F:F,"2",JOURNAL!O:O,"RF")</f>
        <v>0</v>
      </c>
      <c r="AA5" s="48">
        <f>COUNTIFS(JOURNAL!F:F,"2",JOURNAL!O:O,"OT +")</f>
        <v>0</v>
      </c>
      <c r="AB5" s="48">
        <f>COUNTIFS(JOURNAL!F:F,"2",JOURNAL!O:O,"OT -")</f>
        <v>0</v>
      </c>
      <c r="AC5" s="77" t="e">
        <f t="shared" si="0"/>
        <v>#DIV/0!</v>
      </c>
      <c r="AD5" s="81" t="e">
        <f>SMALL(AC4:AC15,11)</f>
        <v>#DIV/0!</v>
      </c>
    </row>
    <row r="6" spans="2:30" ht="18" customHeight="1" x14ac:dyDescent="0.25">
      <c r="T6" s="110" t="s">
        <v>70</v>
      </c>
      <c r="U6" s="75">
        <f>COUNTIF(JOURNAL!F:F,"3")</f>
        <v>0</v>
      </c>
      <c r="V6" s="75">
        <f>COUNTIFS(JOURNAL!F:F,"3",JOURNAL!O:O,"TP")</f>
        <v>0</v>
      </c>
      <c r="W6" s="75">
        <f>COUNTIFS(JOURNAL!F:F,"3",JOURNAL!O:O,"SL")</f>
        <v>0</v>
      </c>
      <c r="X6" s="75">
        <f>COUNTIFS(JOURNAL!F:F,"3",JOURNAL!O:O,"PS")</f>
        <v>0</v>
      </c>
      <c r="Y6" s="75">
        <f>COUNTIFS(JOURNAL!F:F,"3",JOURNAL!O:O,"LS")</f>
        <v>0</v>
      </c>
      <c r="Z6" s="75">
        <f>COUNTIFS(JOURNAL!F:F,"3",JOURNAL!O:O,"RF")</f>
        <v>0</v>
      </c>
      <c r="AA6" s="75">
        <f>COUNTIFS(JOURNAL!F:F,"3",JOURNAL!O:O,"OT +")</f>
        <v>0</v>
      </c>
      <c r="AB6" s="75">
        <f>COUNTIFS(JOURNAL!F:F,"3",JOURNAL!O:O,"OT -")</f>
        <v>0</v>
      </c>
      <c r="AC6" s="76" t="e">
        <f t="shared" si="0"/>
        <v>#DIV/0!</v>
      </c>
      <c r="AD6" s="82" t="e">
        <f>SMALL(AC4:AC15,10)</f>
        <v>#DIV/0!</v>
      </c>
    </row>
    <row r="7" spans="2:30" ht="22.5" customHeight="1" x14ac:dyDescent="0.25">
      <c r="T7" s="110" t="s">
        <v>71</v>
      </c>
      <c r="U7" s="167">
        <f>COUNTIF(JOURNAL!F:F,"4")</f>
        <v>0</v>
      </c>
      <c r="V7" s="48">
        <f>COUNTIFS(JOURNAL!F:F,"4",JOURNAL!O:O,"TP")</f>
        <v>0</v>
      </c>
      <c r="W7" s="48">
        <f>COUNTIFS(JOURNAL!F:F,"4",JOURNAL!O:O,"SL")</f>
        <v>0</v>
      </c>
      <c r="X7" s="48">
        <f>COUNTIFS(JOURNAL!F:F,"4",JOURNAL!O:O,"PS")</f>
        <v>0</v>
      </c>
      <c r="Y7" s="48">
        <f>COUNTIFS(JOURNAL!F:F,"4",JOURNAL!O:O,"LS")</f>
        <v>0</v>
      </c>
      <c r="Z7" s="48">
        <f>COUNTIFS(JOURNAL!F:F,"4",JOURNAL!O:O,"RF")</f>
        <v>0</v>
      </c>
      <c r="AA7" s="48">
        <f>COUNTIFS(JOURNAL!F:F,"4",JOURNAL!O:O,"OT +")</f>
        <v>0</v>
      </c>
      <c r="AB7" s="48">
        <f>COUNTIFS(JOURNAL!F:F,"4",JOURNAL!O:O,"OT -")</f>
        <v>0</v>
      </c>
      <c r="AC7" s="77" t="e">
        <f t="shared" si="0"/>
        <v>#DIV/0!</v>
      </c>
      <c r="AD7" s="83" t="e">
        <f>SMALL(AC4:AC15,9)</f>
        <v>#DIV/0!</v>
      </c>
    </row>
    <row r="8" spans="2:30" ht="18" customHeight="1" x14ac:dyDescent="0.25">
      <c r="T8" s="110" t="s">
        <v>72</v>
      </c>
      <c r="U8" s="75">
        <f>COUNTIF(JOURNAL!F:F,"5")</f>
        <v>0</v>
      </c>
      <c r="V8" s="75">
        <f>COUNTIFS(JOURNAL!F:F,"5",JOURNAL!O:O,"TP")</f>
        <v>0</v>
      </c>
      <c r="W8" s="75">
        <f>COUNTIFS(JOURNAL!F:F,"5",JOURNAL!O:O,"SL")</f>
        <v>0</v>
      </c>
      <c r="X8" s="75">
        <f>COUNTIFS(JOURNAL!F:F,"5",JOURNAL!O:O,"PS")</f>
        <v>0</v>
      </c>
      <c r="Y8" s="75">
        <f>COUNTIFS(JOURNAL!F:F,"5",JOURNAL!O:O,"LS")</f>
        <v>0</v>
      </c>
      <c r="Z8" s="75">
        <f>COUNTIFS(JOURNAL!F:F,"5",JOURNAL!O:O,"RF")</f>
        <v>0</v>
      </c>
      <c r="AA8" s="75">
        <f>COUNTIFS(JOURNAL!F:F,"5",JOURNAL!O:O,"OT +")</f>
        <v>0</v>
      </c>
      <c r="AB8" s="75">
        <f>COUNTIFS(JOURNAL!F:F,"5",JOURNAL!O:O,"OT -")</f>
        <v>0</v>
      </c>
      <c r="AC8" s="76" t="e">
        <f t="shared" si="0"/>
        <v>#DIV/0!</v>
      </c>
      <c r="AD8" s="85" t="e">
        <f>SMALL(AC4:AC15,8)</f>
        <v>#DIV/0!</v>
      </c>
    </row>
    <row r="9" spans="2:30" ht="15.75" customHeight="1" x14ac:dyDescent="0.25">
      <c r="T9" s="110" t="s">
        <v>73</v>
      </c>
      <c r="U9" s="167">
        <f>COUNTIF(JOURNAL!F:F,"6")</f>
        <v>0</v>
      </c>
      <c r="V9" s="48">
        <f>COUNTIFS(JOURNAL!F:F,"6",JOURNAL!O:O,"TP")</f>
        <v>0</v>
      </c>
      <c r="W9" s="48">
        <f>COUNTIFS(JOURNAL!F:F,"6",JOURNAL!O:O,"SL")</f>
        <v>0</v>
      </c>
      <c r="X9" s="48">
        <f>COUNTIFS(JOURNAL!F:F,"6",JOURNAL!O:O,"PS")</f>
        <v>0</v>
      </c>
      <c r="Y9" s="48">
        <f>COUNTIFS(JOURNAL!F:F,"6",JOURNAL!O:O,"LS")</f>
        <v>0</v>
      </c>
      <c r="Z9" s="48">
        <f>COUNTIFS(JOURNAL!F:F,"6",JOURNAL!O:O,"RF")</f>
        <v>0</v>
      </c>
      <c r="AA9" s="48">
        <f>COUNTIFS(JOURNAL!F:F,"6",JOURNAL!O:O,"OT +")</f>
        <v>0</v>
      </c>
      <c r="AB9" s="48">
        <f>COUNTIFS(JOURNAL!F:F,"6",JOURNAL!O:O,"OT -")</f>
        <v>0</v>
      </c>
      <c r="AC9" s="77" t="e">
        <f t="shared" si="0"/>
        <v>#DIV/0!</v>
      </c>
      <c r="AD9" s="85" t="e">
        <f>SMALL(AC4:AC15,7)</f>
        <v>#DIV/0!</v>
      </c>
    </row>
    <row r="10" spans="2:30" ht="18.75" customHeight="1" x14ac:dyDescent="0.25">
      <c r="T10" s="110" t="s">
        <v>74</v>
      </c>
      <c r="U10" s="75">
        <f>COUNTIF(JOURNAL!F:F,"7")</f>
        <v>0</v>
      </c>
      <c r="V10" s="75">
        <f>COUNTIFS(JOURNAL!F:F,"7",JOURNAL!O:O,"TP")</f>
        <v>0</v>
      </c>
      <c r="W10" s="75">
        <f>COUNTIFS(JOURNAL!F:F,"7",JOURNAL!O:O,"SL")</f>
        <v>0</v>
      </c>
      <c r="X10" s="75">
        <f>COUNTIFS(JOURNAL!F:F,"7",JOURNAL!O:O,"PS")</f>
        <v>0</v>
      </c>
      <c r="Y10" s="75">
        <f>COUNTIFS(JOURNAL!F:F,"7",JOURNAL!O:O,"LS")</f>
        <v>0</v>
      </c>
      <c r="Z10" s="75">
        <f>COUNTIFS(JOURNAL!F:F,"7",JOURNAL!O:O,"RF")</f>
        <v>0</v>
      </c>
      <c r="AA10" s="75">
        <f>COUNTIFS(JOURNAL!F:F,"7",JOURNAL!O:O,"OT +")</f>
        <v>0</v>
      </c>
      <c r="AB10" s="75">
        <f>COUNTIFS(JOURNAL!F:F,"7",JOURNAL!O:O,"OT -")</f>
        <v>0</v>
      </c>
      <c r="AC10" s="76" t="e">
        <f t="shared" si="0"/>
        <v>#DIV/0!</v>
      </c>
      <c r="AD10" s="85" t="e">
        <f>SMALL(AC4:AC15,6)</f>
        <v>#DIV/0!</v>
      </c>
    </row>
    <row r="11" spans="2:30" ht="19.5" customHeight="1" x14ac:dyDescent="0.25">
      <c r="T11" s="110" t="s">
        <v>75</v>
      </c>
      <c r="U11" s="167">
        <f>COUNTIF(JOURNAL!F:F,"8")</f>
        <v>0</v>
      </c>
      <c r="V11" s="48">
        <f>COUNTIFS(JOURNAL!F:F,"8",JOURNAL!O:O,"TP")</f>
        <v>0</v>
      </c>
      <c r="W11" s="48">
        <f>COUNTIFS(JOURNAL!F:F,"8",JOURNAL!O:O,"SL")</f>
        <v>0</v>
      </c>
      <c r="X11" s="48">
        <f>COUNTIFS(JOURNAL!F:F,"8",JOURNAL!O:O,"PS")</f>
        <v>0</v>
      </c>
      <c r="Y11" s="48">
        <f>COUNTIFS(JOURNAL!F:F,"8",JOURNAL!O:O,"LS")</f>
        <v>0</v>
      </c>
      <c r="Z11" s="48">
        <f>COUNTIFS(JOURNAL!F:F,"8",JOURNAL!O:O,"RF")</f>
        <v>0</v>
      </c>
      <c r="AA11" s="48">
        <f>COUNTIFS(JOURNAL!F:F,"8",JOURNAL!O:O,"OT +")</f>
        <v>0</v>
      </c>
      <c r="AB11" s="48">
        <f>COUNTIFS(JOURNAL!F:F,"8",JOURNAL!O:O,"OT -")</f>
        <v>0</v>
      </c>
      <c r="AC11" s="77" t="e">
        <f t="shared" si="0"/>
        <v>#DIV/0!</v>
      </c>
      <c r="AD11" s="85" t="e">
        <f>SMALL(AC4:AC15,5)</f>
        <v>#DIV/0!</v>
      </c>
    </row>
    <row r="12" spans="2:30" ht="18.75" x14ac:dyDescent="0.25">
      <c r="T12" s="110" t="s">
        <v>76</v>
      </c>
      <c r="U12" s="75">
        <f>COUNTIF(JOURNAL!F:F,"9")</f>
        <v>0</v>
      </c>
      <c r="V12" s="75">
        <f>COUNTIFS(JOURNAL!F:F,"9",JOURNAL!O:O,"TP")</f>
        <v>0</v>
      </c>
      <c r="W12" s="75">
        <f>COUNTIFS(JOURNAL!F:F,"9",JOURNAL!O:O,"SL")</f>
        <v>0</v>
      </c>
      <c r="X12" s="75">
        <f>COUNTIFS(JOURNAL!F:F,"9",JOURNAL!O:O,"PS")</f>
        <v>0</v>
      </c>
      <c r="Y12" s="75">
        <f>COUNTIFS(JOURNAL!F:F,"9",JOURNAL!O:O,"LS")</f>
        <v>0</v>
      </c>
      <c r="Z12" s="75">
        <f>COUNTIFS(JOURNAL!F:F,"9",JOURNAL!O:O,"RF")</f>
        <v>0</v>
      </c>
      <c r="AA12" s="75">
        <f>COUNTIFS(JOURNAL!F:F,"9",JOURNAL!O:O,"OT +")</f>
        <v>0</v>
      </c>
      <c r="AB12" s="75">
        <f>COUNTIFS(JOURNAL!F:F,"9",JOURNAL!O:O,"OT -")</f>
        <v>0</v>
      </c>
      <c r="AC12" s="76" t="e">
        <f t="shared" si="0"/>
        <v>#DIV/0!</v>
      </c>
      <c r="AD12" s="85" t="e">
        <f>SMALL(AC4:AC15,4)</f>
        <v>#DIV/0!</v>
      </c>
    </row>
    <row r="13" spans="2:30" ht="22.5" customHeight="1" x14ac:dyDescent="0.25">
      <c r="T13" s="110" t="s">
        <v>77</v>
      </c>
      <c r="U13" s="167">
        <f>COUNTIF(JOURNAL!F:F,"10")</f>
        <v>0</v>
      </c>
      <c r="V13" s="48">
        <f>COUNTIFS(JOURNAL!F:F,"10",JOURNAL!O:O,"TP")</f>
        <v>0</v>
      </c>
      <c r="W13" s="48">
        <f>COUNTIFS(JOURNAL!F:F,"10",JOURNAL!O:O,"SL")</f>
        <v>0</v>
      </c>
      <c r="X13" s="48">
        <f>COUNTIFS(JOURNAL!F:F,"10",JOURNAL!O:O,"PS")</f>
        <v>0</v>
      </c>
      <c r="Y13" s="48">
        <f>COUNTIFS(JOURNAL!F:F,"10",JOURNAL!O:O,"LS")</f>
        <v>0</v>
      </c>
      <c r="Z13" s="48">
        <f>COUNTIFS(JOURNAL!F:F,"10",JOURNAL!O:O,"RF")</f>
        <v>0</v>
      </c>
      <c r="AA13" s="48">
        <f>COUNTIFS(JOURNAL!F:F,"10",JOURNAL!O:O,"OT +")</f>
        <v>0</v>
      </c>
      <c r="AB13" s="48">
        <f>COUNTIFS(JOURNAL!F:F,"10",JOURNAL!O:O,"OT -")</f>
        <v>0</v>
      </c>
      <c r="AC13" s="77" t="e">
        <f t="shared" si="0"/>
        <v>#DIV/0!</v>
      </c>
      <c r="AD13" s="85" t="e">
        <f>SMALL(AC4:AC15,3)</f>
        <v>#DIV/0!</v>
      </c>
    </row>
    <row r="14" spans="2:30" ht="18.75" x14ac:dyDescent="0.25">
      <c r="T14" s="110" t="s">
        <v>78</v>
      </c>
      <c r="U14" s="75">
        <f>COUNTIF(JOURNAL!F:F,"11")</f>
        <v>0</v>
      </c>
      <c r="V14" s="75">
        <f>COUNTIFS(JOURNAL!F:F,"11",JOURNAL!O:O,"TP")</f>
        <v>0</v>
      </c>
      <c r="W14" s="75">
        <f>COUNTIFS(JOURNAL!F:F,"11",JOURNAL!O:O,"SL")</f>
        <v>0</v>
      </c>
      <c r="X14" s="75">
        <f>COUNTIFS(JOURNAL!F:F,"11",JOURNAL!O:O,"PS")</f>
        <v>0</v>
      </c>
      <c r="Y14" s="75">
        <f>COUNTIFS(JOURNAL!F:F,"11",JOURNAL!O:O,"LS")</f>
        <v>0</v>
      </c>
      <c r="Z14" s="75">
        <f>COUNTIFS(JOURNAL!F:F,"11",JOURNAL!O:O,"RF")</f>
        <v>0</v>
      </c>
      <c r="AA14" s="75">
        <f>COUNTIFS(JOURNAL!F:F,"11",JOURNAL!O:O,"OT +")</f>
        <v>0</v>
      </c>
      <c r="AB14" s="75">
        <f>COUNTIFS(JOURNAL!F:F,"11",JOURNAL!O:O,"OT -")</f>
        <v>0</v>
      </c>
      <c r="AC14" s="76" t="e">
        <f t="shared" si="0"/>
        <v>#DIV/0!</v>
      </c>
      <c r="AD14" s="85" t="e">
        <f>SMALL(AC4:AC15,2)</f>
        <v>#DIV/0!</v>
      </c>
    </row>
    <row r="15" spans="2:30" ht="18.75" x14ac:dyDescent="0.25">
      <c r="T15" s="110" t="s">
        <v>79</v>
      </c>
      <c r="U15" s="167">
        <f>COUNTIF(JOURNAL!F:F,"12")</f>
        <v>0</v>
      </c>
      <c r="V15" s="48">
        <f>COUNTIFS(JOURNAL!F:F,"12",JOURNAL!O:O,"TP")</f>
        <v>0</v>
      </c>
      <c r="W15" s="48">
        <f>COUNTIFS(JOURNAL!F:F,"12",JOURNAL!O:O,"SL")</f>
        <v>0</v>
      </c>
      <c r="X15" s="48">
        <f>COUNTIFS(JOURNAL!F:F,"12",JOURNAL!O:O,"PS")</f>
        <v>0</v>
      </c>
      <c r="Y15" s="48">
        <f>COUNTIFS(JOURNAL!F:F,"12",JOURNAL!O:O,"LS")</f>
        <v>0</v>
      </c>
      <c r="Z15" s="48">
        <f>COUNTIFS(JOURNAL!F:F,"12",JOURNAL!O:O,"RF")</f>
        <v>0</v>
      </c>
      <c r="AA15" s="48">
        <f>COUNTIFS(JOURNAL!F:F,"12",JOURNAL!O:O,"OT +")</f>
        <v>0</v>
      </c>
      <c r="AB15" s="48">
        <f>COUNTIFS(JOURNAL!F:F,"12",JOURNAL!O:O,"OT -")</f>
        <v>0</v>
      </c>
      <c r="AC15" s="77" t="e">
        <f t="shared" si="0"/>
        <v>#DIV/0!</v>
      </c>
      <c r="AD15" s="85" t="e">
        <f>SMALL(AC4:AC15,1)</f>
        <v>#DIV/0!</v>
      </c>
    </row>
    <row r="18" spans="2:18" ht="23.25" customHeight="1" x14ac:dyDescent="0.25">
      <c r="B18" s="250" t="s">
        <v>30</v>
      </c>
      <c r="C18" s="251"/>
      <c r="D18" s="251"/>
      <c r="E18" s="251"/>
      <c r="F18" s="252"/>
      <c r="H18" s="250" t="s">
        <v>31</v>
      </c>
      <c r="I18" s="251"/>
      <c r="J18" s="251"/>
      <c r="K18" s="251"/>
      <c r="L18" s="252"/>
      <c r="N18" s="250" t="s">
        <v>33</v>
      </c>
      <c r="O18" s="251"/>
      <c r="P18" s="251"/>
      <c r="Q18" s="251"/>
      <c r="R18" s="252"/>
    </row>
    <row r="19" spans="2:18" ht="19.5" customHeight="1" x14ac:dyDescent="0.25">
      <c r="B19" s="142" t="s">
        <v>36</v>
      </c>
      <c r="C19" s="143" t="s">
        <v>28</v>
      </c>
      <c r="D19" s="144" t="s">
        <v>37</v>
      </c>
      <c r="E19" s="145" t="s">
        <v>38</v>
      </c>
      <c r="F19" s="146" t="s">
        <v>39</v>
      </c>
      <c r="H19" s="142" t="s">
        <v>36</v>
      </c>
      <c r="I19" s="143" t="s">
        <v>28</v>
      </c>
      <c r="J19" s="144" t="s">
        <v>37</v>
      </c>
      <c r="K19" s="145" t="s">
        <v>38</v>
      </c>
      <c r="L19" s="146" t="s">
        <v>39</v>
      </c>
      <c r="N19" s="142" t="s">
        <v>36</v>
      </c>
      <c r="O19" s="143" t="s">
        <v>28</v>
      </c>
      <c r="P19" s="144" t="s">
        <v>37</v>
      </c>
      <c r="Q19" s="145" t="s">
        <v>38</v>
      </c>
      <c r="R19" s="146" t="s">
        <v>39</v>
      </c>
    </row>
    <row r="20" spans="2:18" ht="21.75" customHeight="1" x14ac:dyDescent="0.25">
      <c r="B20" s="48">
        <f>COUNTIFS(JOURNAL!O:O,"PS",JOURNAL!P:P,"SF")</f>
        <v>0</v>
      </c>
      <c r="C20" s="48">
        <f>COUNTIFS(JOURNAL!O:O,"PS",JOURNAL!P:P,"TC")</f>
        <v>0</v>
      </c>
      <c r="D20" s="48">
        <f>COUNTIFS(JOURNAL!O:O,"PS",JOURNAL!P:P,"DC")</f>
        <v>0</v>
      </c>
      <c r="E20" s="48">
        <f>COUNTIFS(JOURNAL!O:O,"PS",JOURNAL!P:P,"Keep Went")</f>
        <v>0</v>
      </c>
      <c r="F20" s="48">
        <f>COUNTIFS(JOURNAL!O:O,"PS",JOURNAL!P:P,"RNG")</f>
        <v>0</v>
      </c>
      <c r="H20" s="48">
        <f>COUNTIFS(JOURNAL!O:O,"LS",JOURNAL!P:P,"SF")</f>
        <v>0</v>
      </c>
      <c r="I20" s="48">
        <f>COUNTIFS(JOURNAL!O:O,"LS",JOURNAL!P:P,"TC")</f>
        <v>0</v>
      </c>
      <c r="J20" s="48">
        <f>COUNTIFS(JOURNAL!O:O,"LS",JOURNAL!P:P,"DC")</f>
        <v>0</v>
      </c>
      <c r="K20" s="48">
        <f>COUNTIFS(JOURNAL!O:O,"LS",JOURNAL!P:P,"Keep Went")</f>
        <v>0</v>
      </c>
      <c r="L20" s="48">
        <f>COUNTIFS(JOURNAL!O:O,"LS",JOURNAL!P:P,"RNG")</f>
        <v>0</v>
      </c>
      <c r="N20" s="48">
        <f>COUNTIFS(JOURNAL!O:O,"OT +",JOURNAL!P:P,"SF")</f>
        <v>0</v>
      </c>
      <c r="O20" s="48">
        <f>COUNTIFS(JOURNAL!O:O,"OT +",JOURNAL!P:P,"TC")</f>
        <v>0</v>
      </c>
      <c r="P20" s="48">
        <f>COUNTIFS(JOURNAL!O:O,"OT +",JOURNAL!P:P,"DC")</f>
        <v>0</v>
      </c>
      <c r="Q20" s="48">
        <f>COUNTIFS(JOURNAL!O:O,"OT +",JOURNAL!P:P,"Keep Went")</f>
        <v>0</v>
      </c>
      <c r="R20" s="48">
        <f>COUNTIFS(JOURNAL!O:O,"OT +",JOURNAL!P:P,"RNG")</f>
        <v>0</v>
      </c>
    </row>
    <row r="29" spans="2:18" ht="21" customHeight="1" x14ac:dyDescent="0.25"/>
    <row r="36" spans="2:15" ht="22.5" customHeight="1" x14ac:dyDescent="0.25">
      <c r="B36" s="274" t="s">
        <v>34</v>
      </c>
      <c r="C36" s="275"/>
      <c r="D36" s="275"/>
      <c r="E36" s="275"/>
      <c r="F36" s="276"/>
      <c r="H36" s="277" t="s">
        <v>26</v>
      </c>
      <c r="I36" s="278"/>
      <c r="J36" s="278"/>
      <c r="K36" s="278"/>
      <c r="L36" s="278"/>
      <c r="M36" s="278"/>
      <c r="N36" s="278"/>
      <c r="O36" s="279"/>
    </row>
    <row r="37" spans="2:15" ht="18.75" customHeight="1" x14ac:dyDescent="0.25">
      <c r="B37" s="142" t="s">
        <v>36</v>
      </c>
      <c r="C37" s="143" t="s">
        <v>28</v>
      </c>
      <c r="D37" s="144" t="s">
        <v>37</v>
      </c>
      <c r="E37" s="145" t="s">
        <v>38</v>
      </c>
      <c r="F37" s="146" t="s">
        <v>39</v>
      </c>
      <c r="H37" s="157" t="s">
        <v>43</v>
      </c>
      <c r="I37" s="157" t="s">
        <v>27</v>
      </c>
      <c r="J37" s="157" t="s">
        <v>29</v>
      </c>
      <c r="K37" s="157" t="s">
        <v>30</v>
      </c>
      <c r="L37" s="157" t="s">
        <v>31</v>
      </c>
      <c r="M37" s="157" t="s">
        <v>32</v>
      </c>
      <c r="N37" s="157" t="s">
        <v>33</v>
      </c>
      <c r="O37" s="157" t="s">
        <v>34</v>
      </c>
    </row>
    <row r="38" spans="2:15" ht="20.25" customHeight="1" x14ac:dyDescent="0.25">
      <c r="B38" s="48">
        <f>COUNTIFS(JOURNAL!O:O,"OT -",JOURNAL!P:P,"SF")</f>
        <v>0</v>
      </c>
      <c r="C38" s="48">
        <f>COUNTIFS(JOURNAL!O:O,"OT -",JOURNAL!P:P,"TC")</f>
        <v>0</v>
      </c>
      <c r="D38" s="48">
        <f>COUNTIFS(JOURNAL!O:O,"OT -",JOURNAL!P:P,"DC")</f>
        <v>0</v>
      </c>
      <c r="E38" s="48">
        <f>COUNTIFS(JOURNAL!O:O,"OT -",JOURNAL!P:P,"Keep Went")</f>
        <v>0</v>
      </c>
      <c r="F38" s="48">
        <f>COUNTIFS(JOURNAL!O:O,"OT -",JOURNAL!P:P,"RNG")</f>
        <v>0</v>
      </c>
      <c r="H38" s="48">
        <f>SUM(I38:O38)</f>
        <v>0</v>
      </c>
      <c r="I38" s="48">
        <f>COUNTIF(JOURNAL!O:O,"TP")</f>
        <v>0</v>
      </c>
      <c r="J38" s="48">
        <f>COUNTIF(JOURNAL!O:O,"SL")</f>
        <v>0</v>
      </c>
      <c r="K38" s="48">
        <f>COUNTIF(JOURNAL!O:O,"PS")</f>
        <v>0</v>
      </c>
      <c r="L38" s="48">
        <f>COUNTIF(JOURNAL!O:O,"LS")</f>
        <v>0</v>
      </c>
      <c r="M38" s="48">
        <f>COUNTIF(JOURNAL!O:O,"RF")</f>
        <v>0</v>
      </c>
      <c r="N38" s="48">
        <f>COUNTIF(JOURNAL!O:O,"OT +")</f>
        <v>0</v>
      </c>
      <c r="O38" s="48">
        <f>COUNTIF(JOURNAL!O:O,"OT -")</f>
        <v>0</v>
      </c>
    </row>
    <row r="39" spans="2:15" ht="20.25" customHeight="1" x14ac:dyDescent="0.25">
      <c r="H39" s="50" t="e">
        <f>H38/H38</f>
        <v>#DIV/0!</v>
      </c>
      <c r="I39" s="50" t="e">
        <f>I38/H38</f>
        <v>#DIV/0!</v>
      </c>
      <c r="J39" s="50" t="e">
        <f>J38/H38</f>
        <v>#DIV/0!</v>
      </c>
      <c r="K39" s="50" t="e">
        <f>K38/H38</f>
        <v>#DIV/0!</v>
      </c>
      <c r="L39" s="50" t="e">
        <f>L38/H38</f>
        <v>#DIV/0!</v>
      </c>
      <c r="M39" s="50" t="e">
        <f>M38/H38</f>
        <v>#DIV/0!</v>
      </c>
      <c r="N39" s="50" t="e">
        <f>N38/H38</f>
        <v>#DIV/0!</v>
      </c>
      <c r="O39" s="50" t="e">
        <f>O38/H38</f>
        <v>#DIV/0!</v>
      </c>
    </row>
  </sheetData>
  <sheetProtection algorithmName="SHA-512" hashValue="LH25BYgy9fifvLv54rYnmQqbmk7m8noRpDXyn+rM0z7FddK2Q9LtzCIiKYx6Z2ODum3mZ5i537WjpF0hBw73Ew==" saltValue="vCPMbEikvtz5h6uK0y2Tfw==" spinCount="100000" sheet="1" objects="1" scenarios="1"/>
  <mergeCells count="8">
    <mergeCell ref="B36:F36"/>
    <mergeCell ref="H36:O36"/>
    <mergeCell ref="B3:F3"/>
    <mergeCell ref="H18:L18"/>
    <mergeCell ref="N3:R3"/>
    <mergeCell ref="N18:R18"/>
    <mergeCell ref="H3:L3"/>
    <mergeCell ref="B18:F1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G121"/>
  <sheetViews>
    <sheetView zoomScaleNormal="100" workbookViewId="0">
      <selection activeCell="BC19" sqref="BC19"/>
    </sheetView>
  </sheetViews>
  <sheetFormatPr defaultRowHeight="15" x14ac:dyDescent="0.25"/>
  <cols>
    <col min="1" max="1" width="9.140625" style="53"/>
    <col min="2" max="2" width="15.7109375" style="53" customWidth="1"/>
    <col min="3" max="3" width="11.85546875" style="53" customWidth="1"/>
    <col min="4" max="4" width="8.42578125" style="53" customWidth="1"/>
    <col min="5" max="5" width="10.5703125" style="53" customWidth="1"/>
    <col min="6" max="6" width="8.42578125" style="53" customWidth="1"/>
    <col min="7" max="7" width="9.140625" style="53"/>
    <col min="8" max="8" width="15.140625" style="53" customWidth="1"/>
    <col min="9" max="9" width="12.140625" style="53" customWidth="1"/>
    <col min="10" max="10" width="9.140625" style="53"/>
    <col min="11" max="11" width="10.42578125" style="53" customWidth="1"/>
    <col min="12" max="12" width="8.7109375" style="53" customWidth="1"/>
    <col min="13" max="13" width="14.85546875" style="53" customWidth="1"/>
    <col min="14" max="14" width="12.42578125" style="53" customWidth="1"/>
    <col min="15" max="15" width="12.5703125" style="53" customWidth="1"/>
    <col min="16" max="16" width="12.85546875" style="53" customWidth="1"/>
    <col min="17" max="18" width="9.140625" style="53"/>
    <col min="19" max="19" width="7.85546875" style="53" customWidth="1"/>
    <col min="20" max="20" width="7.140625" style="53" customWidth="1"/>
    <col min="21" max="21" width="8" style="53" customWidth="1"/>
    <col min="22" max="22" width="7.85546875" style="53" customWidth="1"/>
    <col min="23" max="23" width="7.42578125" style="53" customWidth="1"/>
    <col min="24" max="24" width="9" style="53" customWidth="1"/>
    <col min="25" max="25" width="8.7109375" style="53" customWidth="1"/>
    <col min="26" max="26" width="9.140625" style="53"/>
    <col min="27" max="27" width="6" style="53" customWidth="1"/>
    <col min="28" max="28" width="5.5703125" style="53" customWidth="1"/>
    <col min="29" max="29" width="10.42578125" style="53" customWidth="1"/>
    <col min="30" max="30" width="9.140625" style="53"/>
    <col min="31" max="31" width="5.7109375" style="53" customWidth="1"/>
    <col min="32" max="32" width="10.5703125" style="53" customWidth="1"/>
    <col min="33" max="33" width="8.7109375" style="53" customWidth="1"/>
    <col min="34" max="35" width="9.140625" style="53"/>
    <col min="36" max="36" width="7.140625" style="53" customWidth="1"/>
    <col min="37" max="37" width="17.85546875" style="53" customWidth="1"/>
    <col min="38" max="38" width="9.140625" style="53"/>
    <col min="39" max="39" width="6.7109375" style="53" customWidth="1"/>
    <col min="40" max="40" width="18.140625" style="53" customWidth="1"/>
    <col min="41" max="42" width="9.140625" style="53"/>
    <col min="43" max="43" width="7.140625" style="53" customWidth="1"/>
    <col min="44" max="44" width="6.7109375" style="53" customWidth="1"/>
    <col min="45" max="45" width="16.85546875" style="53" customWidth="1"/>
    <col min="46" max="46" width="9.140625" style="53"/>
    <col min="47" max="47" width="7" style="53" customWidth="1"/>
    <col min="48" max="48" width="15.5703125" style="53" customWidth="1"/>
    <col min="49" max="50" width="9.140625" style="53"/>
    <col min="51" max="51" width="6.5703125" style="53" customWidth="1"/>
    <col min="52" max="52" width="6.85546875" style="53" customWidth="1"/>
    <col min="53" max="53" width="14.85546875" style="53" customWidth="1"/>
    <col min="54" max="54" width="9.140625" style="53"/>
    <col min="55" max="55" width="6.7109375" style="53" customWidth="1"/>
    <col min="56" max="56" width="15.140625" style="53" customWidth="1"/>
    <col min="57" max="16384" width="9.140625" style="53"/>
  </cols>
  <sheetData>
    <row r="3" spans="2:33" ht="18.75" customHeight="1" x14ac:dyDescent="0.25">
      <c r="B3" s="250" t="s">
        <v>24</v>
      </c>
      <c r="C3" s="251"/>
      <c r="D3" s="251"/>
      <c r="E3" s="251"/>
      <c r="F3" s="252"/>
      <c r="H3" s="250" t="s">
        <v>23</v>
      </c>
      <c r="I3" s="251"/>
      <c r="J3" s="251"/>
      <c r="K3" s="251"/>
      <c r="L3" s="252"/>
      <c r="N3" s="108" t="s">
        <v>157</v>
      </c>
      <c r="O3" s="109" t="s">
        <v>48</v>
      </c>
      <c r="P3" s="109" t="s">
        <v>168</v>
      </c>
      <c r="R3" s="152" t="s">
        <v>55</v>
      </c>
      <c r="S3" s="109" t="s">
        <v>27</v>
      </c>
      <c r="T3" s="109" t="s">
        <v>29</v>
      </c>
      <c r="U3" s="109" t="s">
        <v>32</v>
      </c>
      <c r="V3" s="109" t="s">
        <v>30</v>
      </c>
      <c r="W3" s="109" t="s">
        <v>31</v>
      </c>
      <c r="X3" s="109" t="s">
        <v>33</v>
      </c>
      <c r="Y3" s="109" t="s">
        <v>34</v>
      </c>
      <c r="AA3" s="273" t="s">
        <v>68</v>
      </c>
      <c r="AB3" s="270" t="s">
        <v>24</v>
      </c>
      <c r="AC3" s="54" t="s">
        <v>27</v>
      </c>
      <c r="AD3" s="166">
        <f>COUNTIFS(JOURNAL!F:F,"1",JOURNAL!M:M,"Buy",JOURNAL!O:O,"TP")</f>
        <v>0</v>
      </c>
      <c r="AE3" s="270" t="s">
        <v>23</v>
      </c>
      <c r="AF3" s="54" t="s">
        <v>27</v>
      </c>
      <c r="AG3" s="166">
        <f>COUNTIFS(JOURNAL!F:F,"1",JOURNAL!M:M,"Sell",JOURNAL!O:O,"TP")</f>
        <v>0</v>
      </c>
    </row>
    <row r="4" spans="2:33" ht="18.75" customHeight="1" x14ac:dyDescent="0.25">
      <c r="B4" s="260" t="s">
        <v>43</v>
      </c>
      <c r="C4" s="262">
        <f>COUNTIF(JOURNAL!M:M,"Buy")</f>
        <v>0</v>
      </c>
      <c r="D4" s="263"/>
      <c r="E4" s="54" t="s">
        <v>27</v>
      </c>
      <c r="F4" s="48">
        <f>COUNTIFS(JOURNAL!M:M,"Buy",JOURNAL!O:O,"TP")</f>
        <v>0</v>
      </c>
      <c r="H4" s="260" t="s">
        <v>43</v>
      </c>
      <c r="I4" s="262">
        <f>COUNTIF(JOURNAL!M:M,"Sell")</f>
        <v>0</v>
      </c>
      <c r="J4" s="263"/>
      <c r="K4" s="54" t="s">
        <v>27</v>
      </c>
      <c r="L4" s="48">
        <f>COUNTIFS(JOURNAL!M:M,"Sell",JOURNAL!O:O,"TP")</f>
        <v>0</v>
      </c>
      <c r="N4" s="110" t="s">
        <v>24</v>
      </c>
      <c r="O4" s="102">
        <f>D11</f>
        <v>0</v>
      </c>
      <c r="P4" s="82">
        <f>SMALL(O4:O5,2)</f>
        <v>0</v>
      </c>
      <c r="R4" s="110" t="s">
        <v>24</v>
      </c>
      <c r="S4" s="156">
        <f>F4</f>
        <v>0</v>
      </c>
      <c r="T4" s="156">
        <f>F5</f>
        <v>0</v>
      </c>
      <c r="U4" s="156">
        <f>F6</f>
        <v>0</v>
      </c>
      <c r="V4" s="156">
        <f>F7</f>
        <v>0</v>
      </c>
      <c r="W4" s="156">
        <f>F8</f>
        <v>0</v>
      </c>
      <c r="X4" s="156">
        <f>F9</f>
        <v>0</v>
      </c>
      <c r="Y4" s="156">
        <f>F10</f>
        <v>0</v>
      </c>
      <c r="AA4" s="273"/>
      <c r="AB4" s="271"/>
      <c r="AC4" s="55" t="s">
        <v>29</v>
      </c>
      <c r="AD4" s="166">
        <f>COUNTIFS(JOURNAL!F:F,"1",JOURNAL!M:M,"Buy",JOURNAL!O:O,"SL")</f>
        <v>0</v>
      </c>
      <c r="AE4" s="271"/>
      <c r="AF4" s="55" t="s">
        <v>29</v>
      </c>
      <c r="AG4" s="166">
        <f>COUNTIFS(JOURNAL!F:F,"1",JOURNAL!M:M,"Sell",JOURNAL!O:O,"SL")</f>
        <v>0</v>
      </c>
    </row>
    <row r="5" spans="2:33" ht="18.75" x14ac:dyDescent="0.25">
      <c r="B5" s="261"/>
      <c r="C5" s="264"/>
      <c r="D5" s="265"/>
      <c r="E5" s="55" t="s">
        <v>29</v>
      </c>
      <c r="F5" s="48">
        <f>COUNTIFS(JOURNAL!M:M,"Buy",JOURNAL!O:O,"SL")</f>
        <v>0</v>
      </c>
      <c r="H5" s="261"/>
      <c r="I5" s="264"/>
      <c r="J5" s="265"/>
      <c r="K5" s="55" t="s">
        <v>29</v>
      </c>
      <c r="L5" s="48">
        <f>COUNTIFS(JOURNAL!M:M,"Sell",JOURNAL!O:O,"SL")</f>
        <v>0</v>
      </c>
      <c r="N5" s="110" t="s">
        <v>23</v>
      </c>
      <c r="O5" s="102">
        <f>J11</f>
        <v>0</v>
      </c>
      <c r="P5" s="128">
        <f>SMALL(O4:O5,1)</f>
        <v>0</v>
      </c>
      <c r="R5" s="110" t="s">
        <v>23</v>
      </c>
      <c r="S5" s="48">
        <f>L4</f>
        <v>0</v>
      </c>
      <c r="T5" s="48">
        <f>L5</f>
        <v>0</v>
      </c>
      <c r="U5" s="48">
        <f>L6</f>
        <v>0</v>
      </c>
      <c r="V5" s="48">
        <f>L7</f>
        <v>0</v>
      </c>
      <c r="W5" s="48">
        <f>L8</f>
        <v>0</v>
      </c>
      <c r="X5" s="48">
        <f>L9</f>
        <v>0</v>
      </c>
      <c r="Y5" s="48">
        <f>L10</f>
        <v>0</v>
      </c>
      <c r="AA5" s="273"/>
      <c r="AB5" s="271"/>
      <c r="AC5" s="56" t="s">
        <v>32</v>
      </c>
      <c r="AD5" s="166">
        <f>COUNTIFS(JOURNAL!F:F,"1",JOURNAL!M:M,"Buy",JOURNAL!O:O,"RF")</f>
        <v>0</v>
      </c>
      <c r="AE5" s="271"/>
      <c r="AF5" s="56" t="s">
        <v>32</v>
      </c>
      <c r="AG5" s="166">
        <f>COUNTIFS(JOURNAL!F:F,"1",JOURNAL!M:M,"Sell",JOURNAL!O:O,"RF")</f>
        <v>0</v>
      </c>
    </row>
    <row r="6" spans="2:33" ht="18.75" customHeight="1" x14ac:dyDescent="0.25">
      <c r="B6" s="260" t="s">
        <v>45</v>
      </c>
      <c r="C6" s="111" t="s">
        <v>36</v>
      </c>
      <c r="D6" s="48">
        <f>COUNTIFS(JOURNAL!M:M,"Buy",JOURNAL!P:P,"SF")</f>
        <v>0</v>
      </c>
      <c r="E6" s="56" t="s">
        <v>32</v>
      </c>
      <c r="F6" s="48">
        <f>COUNTIFS(JOURNAL!M:M,"Buy",JOURNAL!O:O,"RF")</f>
        <v>0</v>
      </c>
      <c r="H6" s="260" t="s">
        <v>45</v>
      </c>
      <c r="I6" s="111" t="s">
        <v>36</v>
      </c>
      <c r="J6" s="48">
        <f>COUNTIFS(JOURNAL!M:M,"Sell",JOURNAL!P:P,"SF")</f>
        <v>0</v>
      </c>
      <c r="K6" s="56" t="s">
        <v>32</v>
      </c>
      <c r="L6" s="48">
        <f>COUNTIFS(JOURNAL!M:M,"Sell",JOURNAL!O:O,"RF")</f>
        <v>0</v>
      </c>
      <c r="X6" s="153"/>
      <c r="AA6" s="273"/>
      <c r="AB6" s="271"/>
      <c r="AC6" s="57" t="s">
        <v>30</v>
      </c>
      <c r="AD6" s="166">
        <f>COUNTIFS(JOURNAL!F:F,"1",JOURNAL!M:M,"Buy",JOURNAL!O:O,"PS")</f>
        <v>0</v>
      </c>
      <c r="AE6" s="271"/>
      <c r="AF6" s="57" t="s">
        <v>30</v>
      </c>
      <c r="AG6" s="166">
        <f>COUNTIFS(JOURNAL!F:F,"1",JOURNAL!M:M,"Sell",JOURNAL!O:O,"PS")</f>
        <v>0</v>
      </c>
    </row>
    <row r="7" spans="2:33" ht="20.25" customHeight="1" x14ac:dyDescent="0.25">
      <c r="B7" s="266"/>
      <c r="C7" s="112" t="s">
        <v>28</v>
      </c>
      <c r="D7" s="48">
        <f>COUNTIFS(JOURNAL!M:M,"Buy",JOURNAL!P:P,"TC")</f>
        <v>0</v>
      </c>
      <c r="E7" s="57" t="s">
        <v>30</v>
      </c>
      <c r="F7" s="48">
        <f>COUNTIFS(JOURNAL!M:M,"Buy",JOURNAL!O:O,"PS")</f>
        <v>0</v>
      </c>
      <c r="H7" s="266"/>
      <c r="I7" s="112" t="s">
        <v>28</v>
      </c>
      <c r="J7" s="48">
        <f>COUNTIFS(JOURNAL!M:M,"Sell",JOURNAL!P:P,"TC")</f>
        <v>0</v>
      </c>
      <c r="K7" s="57" t="s">
        <v>30</v>
      </c>
      <c r="L7" s="48">
        <f>COUNTIFS(JOURNAL!M:M,"Sell",JOURNAL!O:O,"PS")</f>
        <v>0</v>
      </c>
      <c r="N7" s="108" t="s">
        <v>157</v>
      </c>
      <c r="O7" s="109" t="s">
        <v>44</v>
      </c>
      <c r="P7" s="109" t="s">
        <v>168</v>
      </c>
      <c r="X7" s="153"/>
      <c r="AA7" s="273"/>
      <c r="AB7" s="271"/>
      <c r="AC7" s="58" t="s">
        <v>31</v>
      </c>
      <c r="AD7" s="166">
        <f>COUNTIFS(JOURNAL!F:F,"1",JOURNAL!M:M,"Buy",JOURNAL!O:O,"LS")</f>
        <v>0</v>
      </c>
      <c r="AE7" s="271"/>
      <c r="AF7" s="58" t="s">
        <v>31</v>
      </c>
      <c r="AG7" s="166">
        <f>COUNTIFS(JOURNAL!F:F,"1",JOURNAL!M:M,"Sell",JOURNAL!O:O,"LS")</f>
        <v>0</v>
      </c>
    </row>
    <row r="8" spans="2:33" ht="19.5" customHeight="1" x14ac:dyDescent="0.25">
      <c r="B8" s="266"/>
      <c r="C8" s="114" t="s">
        <v>37</v>
      </c>
      <c r="D8" s="48">
        <f>COUNTIFS(JOURNAL!M:M,"Buy",JOURNAL!P:P,"DC")</f>
        <v>0</v>
      </c>
      <c r="E8" s="58" t="s">
        <v>31</v>
      </c>
      <c r="F8" s="48">
        <f>COUNTIFS(JOURNAL!M:M,"Buy",JOURNAL!O:O,"LS")</f>
        <v>0</v>
      </c>
      <c r="H8" s="266"/>
      <c r="I8" s="114" t="s">
        <v>37</v>
      </c>
      <c r="J8" s="48">
        <f>COUNTIFS(JOURNAL!M:M,"Sell",JOURNAL!P:P,"DC")</f>
        <v>0</v>
      </c>
      <c r="K8" s="58" t="s">
        <v>31</v>
      </c>
      <c r="L8" s="48">
        <f>COUNTIFS(JOURNAL!M:M,"Sell",JOURNAL!O:O,"LS")</f>
        <v>0</v>
      </c>
      <c r="N8" s="110" t="s">
        <v>24</v>
      </c>
      <c r="O8" s="102" t="e">
        <f>F11</f>
        <v>#DIV/0!</v>
      </c>
      <c r="P8" s="82" t="e">
        <f>SMALL(O8:O9,2)</f>
        <v>#DIV/0!</v>
      </c>
      <c r="AA8" s="273"/>
      <c r="AB8" s="271"/>
      <c r="AC8" s="59" t="s">
        <v>33</v>
      </c>
      <c r="AD8" s="166">
        <f>COUNTIFS(JOURNAL!F:F,"1",JOURNAL!M:M,"Buy",JOURNAL!O:O,"OT +")</f>
        <v>0</v>
      </c>
      <c r="AE8" s="271"/>
      <c r="AF8" s="59" t="s">
        <v>33</v>
      </c>
      <c r="AG8" s="166">
        <f>COUNTIFS(JOURNAL!F:F,"1",JOURNAL!M:M,"Sell",JOURNAL!O:O,"OT +")</f>
        <v>0</v>
      </c>
    </row>
    <row r="9" spans="2:33" ht="18.75" customHeight="1" x14ac:dyDescent="0.25">
      <c r="B9" s="266"/>
      <c r="C9" s="115" t="s">
        <v>39</v>
      </c>
      <c r="D9" s="48">
        <f>COUNTIFS(JOURNAL!M:M,"Buy",JOURNAL!P:P,"RNG")</f>
        <v>0</v>
      </c>
      <c r="E9" s="59" t="s">
        <v>33</v>
      </c>
      <c r="F9" s="48">
        <f>COUNTIFS(JOURNAL!M:M,"Buy",JOURNAL!O:O,"OT +")</f>
        <v>0</v>
      </c>
      <c r="H9" s="266"/>
      <c r="I9" s="115" t="s">
        <v>39</v>
      </c>
      <c r="J9" s="48">
        <f>COUNTIFS(JOURNAL!M:M,"Sell",JOURNAL!P:P,"RNG")</f>
        <v>0</v>
      </c>
      <c r="K9" s="59" t="s">
        <v>33</v>
      </c>
      <c r="L9" s="48">
        <f>COUNTIFS(JOURNAL!M:M,"Sell",JOURNAL!O:O,"OT +")</f>
        <v>0</v>
      </c>
      <c r="N9" s="110" t="s">
        <v>23</v>
      </c>
      <c r="O9" s="102" t="e">
        <f>L11</f>
        <v>#DIV/0!</v>
      </c>
      <c r="P9" s="128" t="e">
        <f>SMALL(O8:O9,1)</f>
        <v>#DIV/0!</v>
      </c>
      <c r="AA9" s="273"/>
      <c r="AB9" s="271"/>
      <c r="AC9" s="60" t="s">
        <v>34</v>
      </c>
      <c r="AD9" s="166">
        <f>COUNTIFS(JOURNAL!F:F,"1",JOURNAL!M:M,"Buy",JOURNAL!O:O,"OT -")</f>
        <v>0</v>
      </c>
      <c r="AE9" s="271"/>
      <c r="AF9" s="60" t="s">
        <v>34</v>
      </c>
      <c r="AG9" s="166">
        <f>COUNTIFS(JOURNAL!F:F,"1",JOURNAL!M:M,"Sell",JOURNAL!O:O,"OT -")</f>
        <v>0</v>
      </c>
    </row>
    <row r="10" spans="2:33" ht="20.25" customHeight="1" x14ac:dyDescent="0.25">
      <c r="B10" s="266"/>
      <c r="C10" s="116" t="s">
        <v>38</v>
      </c>
      <c r="D10" s="48">
        <f>COUNTIFS(JOURNAL!M:M,"Buy",JOURNAL!P:P,"Keep Went")</f>
        <v>0</v>
      </c>
      <c r="E10" s="60" t="s">
        <v>34</v>
      </c>
      <c r="F10" s="48">
        <f>COUNTIFS(JOURNAL!M:M,"Buy",JOURNAL!O:O,"OT -")</f>
        <v>0</v>
      </c>
      <c r="H10" s="266"/>
      <c r="I10" s="116" t="s">
        <v>38</v>
      </c>
      <c r="J10" s="48">
        <f>COUNTIFS(JOURNAL!M:M,"Sell",JOURNAL!P:P,"Keep Went")</f>
        <v>0</v>
      </c>
      <c r="K10" s="60" t="s">
        <v>34</v>
      </c>
      <c r="L10" s="48">
        <f>COUNTIFS(JOURNAL!M:M,"Sell",JOURNAL!O:O,"OT -")</f>
        <v>0</v>
      </c>
      <c r="AA10" s="273"/>
      <c r="AB10" s="271"/>
      <c r="AC10" s="25" t="s">
        <v>115</v>
      </c>
      <c r="AD10" s="166">
        <f>SUM(AD3:AD9)</f>
        <v>0</v>
      </c>
      <c r="AE10" s="271"/>
      <c r="AF10" s="25" t="s">
        <v>115</v>
      </c>
      <c r="AG10" s="166">
        <f>SUM(AG3:AG9)</f>
        <v>0</v>
      </c>
    </row>
    <row r="11" spans="2:33" ht="21" customHeight="1" x14ac:dyDescent="0.25">
      <c r="B11" s="261"/>
      <c r="C11" s="118" t="s">
        <v>48</v>
      </c>
      <c r="D11" s="106">
        <f>SUMIF(JOURNAL!M:M,"Buy",JOURNAL!Q:Q)</f>
        <v>0</v>
      </c>
      <c r="E11" s="119" t="s">
        <v>44</v>
      </c>
      <c r="F11" s="102" t="e">
        <f>SUM(F4,F6,F7,F9)/C4</f>
        <v>#DIV/0!</v>
      </c>
      <c r="H11" s="261"/>
      <c r="I11" s="118" t="s">
        <v>48</v>
      </c>
      <c r="J11" s="106">
        <f>SUMIF(JOURNAL!M:M,"Sell",JOURNAL!Q:Q)</f>
        <v>0</v>
      </c>
      <c r="K11" s="119" t="s">
        <v>44</v>
      </c>
      <c r="L11" s="102" t="e">
        <f>SUM(L4,L6,L7,L9)/I4</f>
        <v>#DIV/0!</v>
      </c>
      <c r="AA11" s="273"/>
      <c r="AB11" s="272"/>
      <c r="AC11" s="29" t="s">
        <v>44</v>
      </c>
      <c r="AD11" s="164" t="e">
        <f>SUM(AD3,AD5,AD6,AD8)/AD10</f>
        <v>#DIV/0!</v>
      </c>
      <c r="AE11" s="272"/>
      <c r="AF11" s="29" t="s">
        <v>44</v>
      </c>
      <c r="AG11" s="164" t="e">
        <f>SUM(AG3,AG5,AG6,AG8)/AG10</f>
        <v>#DIV/0!</v>
      </c>
    </row>
    <row r="13" spans="2:33" ht="21" customHeight="1" x14ac:dyDescent="0.25">
      <c r="AA13" s="273" t="s">
        <v>69</v>
      </c>
      <c r="AB13" s="270" t="s">
        <v>24</v>
      </c>
      <c r="AC13" s="54" t="s">
        <v>27</v>
      </c>
      <c r="AD13" s="166">
        <f>COUNTIFS(JOURNAL!F:F,"2",JOURNAL!M:M,"Buy",JOURNAL!O:O,"TP")</f>
        <v>0</v>
      </c>
      <c r="AE13" s="270" t="s">
        <v>23</v>
      </c>
      <c r="AF13" s="54" t="s">
        <v>27</v>
      </c>
      <c r="AG13" s="166">
        <f>COUNTIFS(JOURNAL!F:F,"2",JOURNAL!M:M,"Sell",JOURNAL!O:O,"TP")</f>
        <v>0</v>
      </c>
    </row>
    <row r="14" spans="2:33" ht="18" customHeight="1" x14ac:dyDescent="0.25">
      <c r="AA14" s="273"/>
      <c r="AB14" s="271"/>
      <c r="AC14" s="55" t="s">
        <v>29</v>
      </c>
      <c r="AD14" s="166">
        <f>COUNTIFS(JOURNAL!F:F,"2",JOURNAL!M:M,"Buy",JOURNAL!O:O,"SL")</f>
        <v>0</v>
      </c>
      <c r="AE14" s="271"/>
      <c r="AF14" s="55" t="s">
        <v>29</v>
      </c>
      <c r="AG14" s="166">
        <f>COUNTIFS(JOURNAL!F:F,"2",JOURNAL!M:M,"Sell",JOURNAL!O:O,"SL")</f>
        <v>0</v>
      </c>
    </row>
    <row r="15" spans="2:33" ht="18.75" customHeight="1" x14ac:dyDescent="0.25">
      <c r="AA15" s="273"/>
      <c r="AB15" s="271"/>
      <c r="AC15" s="56" t="s">
        <v>32</v>
      </c>
      <c r="AD15" s="166">
        <f>COUNTIFS(JOURNAL!F:F,"2",JOURNAL!M:M,"Buy",JOURNAL!O:O,"RF")</f>
        <v>0</v>
      </c>
      <c r="AE15" s="271"/>
      <c r="AF15" s="56" t="s">
        <v>32</v>
      </c>
      <c r="AG15" s="166">
        <f>COUNTIFS(JOURNAL!F:F,"2",JOURNAL!M:M,"Sell",JOURNAL!O:O,"RF")</f>
        <v>0</v>
      </c>
    </row>
    <row r="16" spans="2:33" ht="17.25" customHeight="1" x14ac:dyDescent="0.25">
      <c r="AA16" s="273"/>
      <c r="AB16" s="271"/>
      <c r="AC16" s="57" t="s">
        <v>30</v>
      </c>
      <c r="AD16" s="166">
        <f>COUNTIFS(JOURNAL!F:F,"2",JOURNAL!M:M,"Buy",JOURNAL!O:O,"PS")</f>
        <v>0</v>
      </c>
      <c r="AE16" s="271"/>
      <c r="AF16" s="57" t="s">
        <v>30</v>
      </c>
      <c r="AG16" s="166">
        <f>COUNTIFS(JOURNAL!F:F,"2",JOURNAL!M:M,"Sell",JOURNAL!O:O,"PS")</f>
        <v>0</v>
      </c>
    </row>
    <row r="17" spans="27:33" ht="19.5" customHeight="1" x14ac:dyDescent="0.25">
      <c r="AA17" s="273"/>
      <c r="AB17" s="271"/>
      <c r="AC17" s="58" t="s">
        <v>31</v>
      </c>
      <c r="AD17" s="166">
        <f>COUNTIFS(JOURNAL!F:F,"2",JOURNAL!M:M,"Buy",JOURNAL!O:O,"LS")</f>
        <v>0</v>
      </c>
      <c r="AE17" s="271"/>
      <c r="AF17" s="58" t="s">
        <v>31</v>
      </c>
      <c r="AG17" s="166">
        <f>COUNTIFS(JOURNAL!F:F,"2",JOURNAL!M:M,"Sell",JOURNAL!O:O,"LS")</f>
        <v>0</v>
      </c>
    </row>
    <row r="18" spans="27:33" ht="20.25" customHeight="1" x14ac:dyDescent="0.25">
      <c r="AA18" s="273"/>
      <c r="AB18" s="271"/>
      <c r="AC18" s="59" t="s">
        <v>33</v>
      </c>
      <c r="AD18" s="166">
        <f>COUNTIFS(JOURNAL!F:F,"2",JOURNAL!M:M,"Buy",JOURNAL!O:O,"OT +")</f>
        <v>0</v>
      </c>
      <c r="AE18" s="271"/>
      <c r="AF18" s="59" t="s">
        <v>33</v>
      </c>
      <c r="AG18" s="166">
        <f>COUNTIFS(JOURNAL!F:F,"2",JOURNAL!M:M,"Sell",JOURNAL!O:O,"OT +")</f>
        <v>0</v>
      </c>
    </row>
    <row r="19" spans="27:33" ht="21" customHeight="1" x14ac:dyDescent="0.25">
      <c r="AA19" s="273"/>
      <c r="AB19" s="271"/>
      <c r="AC19" s="60" t="s">
        <v>34</v>
      </c>
      <c r="AD19" s="166">
        <f>COUNTIFS(JOURNAL!F:F,"2",JOURNAL!M:M,"Buy",JOURNAL!O:O,"OT -")</f>
        <v>0</v>
      </c>
      <c r="AE19" s="271"/>
      <c r="AF19" s="60" t="s">
        <v>34</v>
      </c>
      <c r="AG19" s="166">
        <f>COUNTIFS(JOURNAL!F:F,"2",JOURNAL!M:M,"Sell",JOURNAL!O:O,"OT -")</f>
        <v>0</v>
      </c>
    </row>
    <row r="20" spans="27:33" ht="19.5" customHeight="1" x14ac:dyDescent="0.25">
      <c r="AA20" s="273"/>
      <c r="AB20" s="271"/>
      <c r="AC20" s="25" t="s">
        <v>115</v>
      </c>
      <c r="AD20" s="166">
        <f>SUM(AD13:AD19)</f>
        <v>0</v>
      </c>
      <c r="AE20" s="271"/>
      <c r="AF20" s="25" t="s">
        <v>115</v>
      </c>
      <c r="AG20" s="166">
        <f>SUM(AG13:AG19)</f>
        <v>0</v>
      </c>
    </row>
    <row r="21" spans="27:33" ht="21.75" customHeight="1" x14ac:dyDescent="0.25">
      <c r="AA21" s="273"/>
      <c r="AB21" s="272"/>
      <c r="AC21" s="29" t="s">
        <v>44</v>
      </c>
      <c r="AD21" s="164" t="e">
        <f>SUM(AD13,AD15,AD16,AD18)/AD20</f>
        <v>#DIV/0!</v>
      </c>
      <c r="AE21" s="272"/>
      <c r="AF21" s="29" t="s">
        <v>44</v>
      </c>
      <c r="AG21" s="164" t="e">
        <f>SUM(AG13,AG15,AG16,AG18)/AG20</f>
        <v>#DIV/0!</v>
      </c>
    </row>
    <row r="23" spans="27:33" ht="19.5" customHeight="1" x14ac:dyDescent="0.25">
      <c r="AA23" s="273" t="s">
        <v>70</v>
      </c>
      <c r="AB23" s="270" t="s">
        <v>24</v>
      </c>
      <c r="AC23" s="54" t="s">
        <v>27</v>
      </c>
      <c r="AD23" s="166">
        <f>COUNTIFS(JOURNAL!F:F,"3",JOURNAL!M:M,"Buy",JOURNAL!O:O,"TP")</f>
        <v>0</v>
      </c>
      <c r="AE23" s="270" t="s">
        <v>23</v>
      </c>
      <c r="AF23" s="54" t="s">
        <v>27</v>
      </c>
      <c r="AG23" s="166">
        <f>COUNTIFS(JOURNAL!F:F,"3",JOURNAL!M:M,"Sell",JOURNAL!O:O,"TP")</f>
        <v>0</v>
      </c>
    </row>
    <row r="24" spans="27:33" ht="15.75" x14ac:dyDescent="0.25">
      <c r="AA24" s="273"/>
      <c r="AB24" s="271"/>
      <c r="AC24" s="55" t="s">
        <v>29</v>
      </c>
      <c r="AD24" s="166">
        <f>COUNTIFS(JOURNAL!F:F,"3",JOURNAL!M:M,"Buy",JOURNAL!O:O,"SL")</f>
        <v>0</v>
      </c>
      <c r="AE24" s="271"/>
      <c r="AF24" s="55" t="s">
        <v>29</v>
      </c>
      <c r="AG24" s="166">
        <f>COUNTIFS(JOURNAL!F:F,"3",JOURNAL!M:M,"Sell",JOURNAL!O:O,"SL")</f>
        <v>0</v>
      </c>
    </row>
    <row r="25" spans="27:33" ht="15.75" x14ac:dyDescent="0.25">
      <c r="AA25" s="273"/>
      <c r="AB25" s="271"/>
      <c r="AC25" s="56" t="s">
        <v>32</v>
      </c>
      <c r="AD25" s="166">
        <f>COUNTIFS(JOURNAL!F:F,"3",JOURNAL!M:M,"Buy",JOURNAL!O:O,"RF")</f>
        <v>0</v>
      </c>
      <c r="AE25" s="271"/>
      <c r="AF25" s="56" t="s">
        <v>32</v>
      </c>
      <c r="AG25" s="166">
        <f>COUNTIFS(JOURNAL!F:F,"3",JOURNAL!M:M,"Sell",JOURNAL!O:O,"RF")</f>
        <v>0</v>
      </c>
    </row>
    <row r="26" spans="27:33" ht="15.75" x14ac:dyDescent="0.25">
      <c r="AA26" s="273"/>
      <c r="AB26" s="271"/>
      <c r="AC26" s="57" t="s">
        <v>30</v>
      </c>
      <c r="AD26" s="166">
        <f>COUNTIFS(JOURNAL!F:F,"3",JOURNAL!M:M,"Buy",JOURNAL!O:O,"PS")</f>
        <v>0</v>
      </c>
      <c r="AE26" s="271"/>
      <c r="AF26" s="57" t="s">
        <v>30</v>
      </c>
      <c r="AG26" s="166">
        <f>COUNTIFS(JOURNAL!F:F,"3",JOURNAL!M:M,"Sell",JOURNAL!O:O,"PS")</f>
        <v>0</v>
      </c>
    </row>
    <row r="27" spans="27:33" ht="15.75" x14ac:dyDescent="0.25">
      <c r="AA27" s="273"/>
      <c r="AB27" s="271"/>
      <c r="AC27" s="58" t="s">
        <v>31</v>
      </c>
      <c r="AD27" s="166">
        <f>COUNTIFS(JOURNAL!F:F,"3",JOURNAL!M:M,"Buy",JOURNAL!O:O,"LS")</f>
        <v>0</v>
      </c>
      <c r="AE27" s="271"/>
      <c r="AF27" s="58" t="s">
        <v>31</v>
      </c>
      <c r="AG27" s="166">
        <f>COUNTIFS(JOURNAL!F:F,"3",JOURNAL!M:M,"Sell",JOURNAL!O:O,"LS")</f>
        <v>0</v>
      </c>
    </row>
    <row r="28" spans="27:33" ht="15.75" x14ac:dyDescent="0.25">
      <c r="AA28" s="273"/>
      <c r="AB28" s="271"/>
      <c r="AC28" s="59" t="s">
        <v>33</v>
      </c>
      <c r="AD28" s="166">
        <f>COUNTIFS(JOURNAL!F:F,"3",JOURNAL!M:M,"Buy",JOURNAL!O:O,"OT +")</f>
        <v>0</v>
      </c>
      <c r="AE28" s="271"/>
      <c r="AF28" s="59" t="s">
        <v>33</v>
      </c>
      <c r="AG28" s="166">
        <f>COUNTIFS(JOURNAL!F:F,"3",JOURNAL!M:M,"Sell",JOURNAL!O:O,"OT +")</f>
        <v>0</v>
      </c>
    </row>
    <row r="29" spans="27:33" ht="15.75" x14ac:dyDescent="0.25">
      <c r="AA29" s="273"/>
      <c r="AB29" s="271"/>
      <c r="AC29" s="60" t="s">
        <v>34</v>
      </c>
      <c r="AD29" s="166">
        <f>COUNTIFS(JOURNAL!F:F,"3",JOURNAL!M:M,"Buy",JOURNAL!O:O,"OT -")</f>
        <v>0</v>
      </c>
      <c r="AE29" s="271"/>
      <c r="AF29" s="60" t="s">
        <v>34</v>
      </c>
      <c r="AG29" s="166">
        <f>COUNTIFS(JOURNAL!F:F,"3",JOURNAL!M:M,"Sell",JOURNAL!O:O,"OT -")</f>
        <v>0</v>
      </c>
    </row>
    <row r="30" spans="27:33" ht="18" customHeight="1" x14ac:dyDescent="0.25">
      <c r="AA30" s="273"/>
      <c r="AB30" s="271"/>
      <c r="AC30" s="25" t="s">
        <v>115</v>
      </c>
      <c r="AD30" s="166">
        <f>SUM(AD23:AD29)</f>
        <v>0</v>
      </c>
      <c r="AE30" s="271"/>
      <c r="AF30" s="25" t="s">
        <v>115</v>
      </c>
      <c r="AG30" s="166">
        <f>SUM(AG23:AG29)</f>
        <v>0</v>
      </c>
    </row>
    <row r="31" spans="27:33" ht="19.5" customHeight="1" x14ac:dyDescent="0.25">
      <c r="AA31" s="273"/>
      <c r="AB31" s="272"/>
      <c r="AC31" s="29" t="s">
        <v>44</v>
      </c>
      <c r="AD31" s="164" t="e">
        <f>SUM(AD23,AD25,AD26,AD28)/AD30</f>
        <v>#DIV/0!</v>
      </c>
      <c r="AE31" s="272"/>
      <c r="AF31" s="29" t="s">
        <v>44</v>
      </c>
      <c r="AG31" s="164" t="e">
        <f>SUM(AG23,AG25,AG26,AG28)/AG30</f>
        <v>#DIV/0!</v>
      </c>
    </row>
    <row r="33" spans="27:33" ht="15.75" customHeight="1" x14ac:dyDescent="0.25">
      <c r="AA33" s="273" t="s">
        <v>71</v>
      </c>
      <c r="AB33" s="270" t="s">
        <v>24</v>
      </c>
      <c r="AC33" s="54" t="s">
        <v>27</v>
      </c>
      <c r="AD33" s="166">
        <f>COUNTIFS(JOURNAL!F:F,"4",JOURNAL!M:M,"Buy",JOURNAL!O:O,"TP")</f>
        <v>0</v>
      </c>
      <c r="AE33" s="270" t="s">
        <v>23</v>
      </c>
      <c r="AF33" s="54" t="s">
        <v>27</v>
      </c>
      <c r="AG33" s="166">
        <f>COUNTIFS(JOURNAL!F:F,"4",JOURNAL!M:M,"Sell",JOURNAL!O:O,"TP")</f>
        <v>0</v>
      </c>
    </row>
    <row r="34" spans="27:33" ht="15.75" x14ac:dyDescent="0.25">
      <c r="AA34" s="273"/>
      <c r="AB34" s="271"/>
      <c r="AC34" s="55" t="s">
        <v>29</v>
      </c>
      <c r="AD34" s="166">
        <f>COUNTIFS(JOURNAL!F:F,"4",JOURNAL!M:M,"Buy",JOURNAL!O:O,"SL")</f>
        <v>0</v>
      </c>
      <c r="AE34" s="271"/>
      <c r="AF34" s="55" t="s">
        <v>29</v>
      </c>
      <c r="AG34" s="166">
        <f>COUNTIFS(JOURNAL!F:F,"4",JOURNAL!M:M,"Sell",JOURNAL!O:O,"SL")</f>
        <v>0</v>
      </c>
    </row>
    <row r="35" spans="27:33" ht="15.75" x14ac:dyDescent="0.25">
      <c r="AA35" s="273"/>
      <c r="AB35" s="271"/>
      <c r="AC35" s="56" t="s">
        <v>32</v>
      </c>
      <c r="AD35" s="166">
        <f>COUNTIFS(JOURNAL!F:F,"4",JOURNAL!M:M,"Buy",JOURNAL!O:O,"RF")</f>
        <v>0</v>
      </c>
      <c r="AE35" s="271"/>
      <c r="AF35" s="56" t="s">
        <v>32</v>
      </c>
      <c r="AG35" s="166">
        <f>COUNTIFS(JOURNAL!F:F,"4",JOURNAL!M:M,"Sell",JOURNAL!O:O,"RF")</f>
        <v>0</v>
      </c>
    </row>
    <row r="36" spans="27:33" ht="15.75" x14ac:dyDescent="0.25">
      <c r="AA36" s="273"/>
      <c r="AB36" s="271"/>
      <c r="AC36" s="57" t="s">
        <v>30</v>
      </c>
      <c r="AD36" s="166">
        <f>COUNTIFS(JOURNAL!F:F,"4",JOURNAL!M:M,"Buy",JOURNAL!O:O,"PS")</f>
        <v>0</v>
      </c>
      <c r="AE36" s="271"/>
      <c r="AF36" s="57" t="s">
        <v>30</v>
      </c>
      <c r="AG36" s="166">
        <f>COUNTIFS(JOURNAL!F:F,"4",JOURNAL!M:M,"Sell",JOURNAL!O:O,"PS")</f>
        <v>0</v>
      </c>
    </row>
    <row r="37" spans="27:33" ht="15.75" x14ac:dyDescent="0.25">
      <c r="AA37" s="273"/>
      <c r="AB37" s="271"/>
      <c r="AC37" s="58" t="s">
        <v>31</v>
      </c>
      <c r="AD37" s="166">
        <f>COUNTIFS(JOURNAL!F:F,"4",JOURNAL!M:M,"Buy",JOURNAL!O:O,"LS")</f>
        <v>0</v>
      </c>
      <c r="AE37" s="271"/>
      <c r="AF37" s="58" t="s">
        <v>31</v>
      </c>
      <c r="AG37" s="166">
        <f>COUNTIFS(JOURNAL!F:F,"4",JOURNAL!M:M,"Sell",JOURNAL!O:O,"LS")</f>
        <v>0</v>
      </c>
    </row>
    <row r="38" spans="27:33" ht="15.75" x14ac:dyDescent="0.25">
      <c r="AA38" s="273"/>
      <c r="AB38" s="271"/>
      <c r="AC38" s="59" t="s">
        <v>33</v>
      </c>
      <c r="AD38" s="166">
        <f>COUNTIFS(JOURNAL!F:F,"4",JOURNAL!M:M,"Buy",JOURNAL!O:O,"OT +")</f>
        <v>0</v>
      </c>
      <c r="AE38" s="271"/>
      <c r="AF38" s="59" t="s">
        <v>33</v>
      </c>
      <c r="AG38" s="166">
        <f>COUNTIFS(JOURNAL!F:F,"4",JOURNAL!M:M,"Sell",JOURNAL!O:O,"OT +")</f>
        <v>0</v>
      </c>
    </row>
    <row r="39" spans="27:33" ht="15.75" x14ac:dyDescent="0.25">
      <c r="AA39" s="273"/>
      <c r="AB39" s="271"/>
      <c r="AC39" s="60" t="s">
        <v>34</v>
      </c>
      <c r="AD39" s="166">
        <f>COUNTIFS(JOURNAL!F:F,"4",JOURNAL!M:M,"Buy",JOURNAL!O:O,"OT -")</f>
        <v>0</v>
      </c>
      <c r="AE39" s="271"/>
      <c r="AF39" s="60" t="s">
        <v>34</v>
      </c>
      <c r="AG39" s="166">
        <f>COUNTIFS(JOURNAL!F:F,"4",JOURNAL!M:M,"Sell",JOURNAL!O:O,"OT -")</f>
        <v>0</v>
      </c>
    </row>
    <row r="40" spans="27:33" ht="15.75" x14ac:dyDescent="0.25">
      <c r="AA40" s="273"/>
      <c r="AB40" s="271"/>
      <c r="AC40" s="25" t="s">
        <v>115</v>
      </c>
      <c r="AD40" s="166">
        <f>SUM(AD33:AD39)</f>
        <v>0</v>
      </c>
      <c r="AE40" s="271"/>
      <c r="AF40" s="25" t="s">
        <v>115</v>
      </c>
      <c r="AG40" s="166">
        <f>SUM(AG33:AG39)</f>
        <v>0</v>
      </c>
    </row>
    <row r="41" spans="27:33" ht="15.75" x14ac:dyDescent="0.25">
      <c r="AA41" s="273"/>
      <c r="AB41" s="272"/>
      <c r="AC41" s="29" t="s">
        <v>44</v>
      </c>
      <c r="AD41" s="164" t="e">
        <f>SUM(AD33,AD35,AD36,AD38)/AD40</f>
        <v>#DIV/0!</v>
      </c>
      <c r="AE41" s="272"/>
      <c r="AF41" s="29" t="s">
        <v>44</v>
      </c>
      <c r="AG41" s="164" t="e">
        <f>SUM(AG33,AG35,AG36,AG38)/AG40</f>
        <v>#DIV/0!</v>
      </c>
    </row>
    <row r="43" spans="27:33" ht="15.75" customHeight="1" x14ac:dyDescent="0.25">
      <c r="AA43" s="273" t="s">
        <v>72</v>
      </c>
      <c r="AB43" s="270" t="s">
        <v>24</v>
      </c>
      <c r="AC43" s="54" t="s">
        <v>27</v>
      </c>
      <c r="AD43" s="166">
        <f>COUNTIFS(JOURNAL!F:F,"5",JOURNAL!M:M,"Buy",JOURNAL!O:O,"TP")</f>
        <v>0</v>
      </c>
      <c r="AE43" s="270" t="s">
        <v>23</v>
      </c>
      <c r="AF43" s="54" t="s">
        <v>27</v>
      </c>
      <c r="AG43" s="166">
        <f>COUNTIFS(JOURNAL!F:F,"5",JOURNAL!M:M,"Sell",JOURNAL!O:O,"TP")</f>
        <v>0</v>
      </c>
    </row>
    <row r="44" spans="27:33" ht="15.75" x14ac:dyDescent="0.25">
      <c r="AA44" s="273"/>
      <c r="AB44" s="271"/>
      <c r="AC44" s="55" t="s">
        <v>29</v>
      </c>
      <c r="AD44" s="166">
        <f>COUNTIFS(JOURNAL!F:F,"5",JOURNAL!M:M,"Buy",JOURNAL!O:O,"SL")</f>
        <v>0</v>
      </c>
      <c r="AE44" s="271"/>
      <c r="AF44" s="55" t="s">
        <v>29</v>
      </c>
      <c r="AG44" s="166">
        <f>COUNTIFS(JOURNAL!F:F,"5",JOURNAL!M:M,"Sell",JOURNAL!O:O,"SL")</f>
        <v>0</v>
      </c>
    </row>
    <row r="45" spans="27:33" ht="15.75" x14ac:dyDescent="0.25">
      <c r="AA45" s="273"/>
      <c r="AB45" s="271"/>
      <c r="AC45" s="56" t="s">
        <v>32</v>
      </c>
      <c r="AD45" s="166">
        <f>COUNTIFS(JOURNAL!F:F,"5",JOURNAL!M:M,"Buy",JOURNAL!O:O,"RF")</f>
        <v>0</v>
      </c>
      <c r="AE45" s="271"/>
      <c r="AF45" s="56" t="s">
        <v>32</v>
      </c>
      <c r="AG45" s="166">
        <f>COUNTIFS(JOURNAL!F:F,"5",JOURNAL!M:M,"Sell",JOURNAL!O:O,"RF")</f>
        <v>0</v>
      </c>
    </row>
    <row r="46" spans="27:33" ht="15.75" x14ac:dyDescent="0.25">
      <c r="AA46" s="273"/>
      <c r="AB46" s="271"/>
      <c r="AC46" s="57" t="s">
        <v>30</v>
      </c>
      <c r="AD46" s="166">
        <f>COUNTIFS(JOURNAL!F:F,"5",JOURNAL!M:M,"Buy",JOURNAL!O:O,"PS")</f>
        <v>0</v>
      </c>
      <c r="AE46" s="271"/>
      <c r="AF46" s="57" t="s">
        <v>30</v>
      </c>
      <c r="AG46" s="166">
        <f>COUNTIFS(JOURNAL!F:F,"5",JOURNAL!M:M,"Sell",JOURNAL!O:O,"PS")</f>
        <v>0</v>
      </c>
    </row>
    <row r="47" spans="27:33" ht="15.75" x14ac:dyDescent="0.25">
      <c r="AA47" s="273"/>
      <c r="AB47" s="271"/>
      <c r="AC47" s="58" t="s">
        <v>31</v>
      </c>
      <c r="AD47" s="166">
        <f>COUNTIFS(JOURNAL!F:F,"5",JOURNAL!M:M,"Buy",JOURNAL!O:O,"LS")</f>
        <v>0</v>
      </c>
      <c r="AE47" s="271"/>
      <c r="AF47" s="58" t="s">
        <v>31</v>
      </c>
      <c r="AG47" s="166">
        <f>COUNTIFS(JOURNAL!F:F,"5",JOURNAL!M:M,"Sell",JOURNAL!O:O,"LS")</f>
        <v>0</v>
      </c>
    </row>
    <row r="48" spans="27:33" ht="15.75" x14ac:dyDescent="0.25">
      <c r="AA48" s="273"/>
      <c r="AB48" s="271"/>
      <c r="AC48" s="59" t="s">
        <v>33</v>
      </c>
      <c r="AD48" s="166">
        <f>COUNTIFS(JOURNAL!F:F,"5",JOURNAL!M:M,"Buy",JOURNAL!O:O,"OT +")</f>
        <v>0</v>
      </c>
      <c r="AE48" s="271"/>
      <c r="AF48" s="59" t="s">
        <v>33</v>
      </c>
      <c r="AG48" s="166">
        <f>COUNTIFS(JOURNAL!F:F,"5",JOURNAL!M:M,"Sell",JOURNAL!O:O,"OT +")</f>
        <v>0</v>
      </c>
    </row>
    <row r="49" spans="27:33" ht="15.75" x14ac:dyDescent="0.25">
      <c r="AA49" s="273"/>
      <c r="AB49" s="271"/>
      <c r="AC49" s="60" t="s">
        <v>34</v>
      </c>
      <c r="AD49" s="166">
        <f>COUNTIFS(JOURNAL!F:F,"5",JOURNAL!M:M,"Buy",JOURNAL!O:O,"OT -")</f>
        <v>0</v>
      </c>
      <c r="AE49" s="271"/>
      <c r="AF49" s="60" t="s">
        <v>34</v>
      </c>
      <c r="AG49" s="166">
        <f>COUNTIFS(JOURNAL!F:F,"5",JOURNAL!M:M,"Sell",JOURNAL!O:O,"OT -")</f>
        <v>0</v>
      </c>
    </row>
    <row r="50" spans="27:33" ht="15.75" x14ac:dyDescent="0.25">
      <c r="AA50" s="273"/>
      <c r="AB50" s="271"/>
      <c r="AC50" s="25" t="s">
        <v>115</v>
      </c>
      <c r="AD50" s="166">
        <f>SUM(AD43:AD49)</f>
        <v>0</v>
      </c>
      <c r="AE50" s="271"/>
      <c r="AF50" s="25" t="s">
        <v>115</v>
      </c>
      <c r="AG50" s="166">
        <f>SUM(AG43:AG49)</f>
        <v>0</v>
      </c>
    </row>
    <row r="51" spans="27:33" ht="15.75" x14ac:dyDescent="0.25">
      <c r="AA51" s="273"/>
      <c r="AB51" s="272"/>
      <c r="AC51" s="29" t="s">
        <v>44</v>
      </c>
      <c r="AD51" s="164" t="e">
        <f>SUM(AD43,AD45,AD46,AD48)/AD50</f>
        <v>#DIV/0!</v>
      </c>
      <c r="AE51" s="272"/>
      <c r="AF51" s="29" t="s">
        <v>44</v>
      </c>
      <c r="AG51" s="164" t="e">
        <f>SUM(AG43,AG45,AG46,AG48)/AG50</f>
        <v>#DIV/0!</v>
      </c>
    </row>
    <row r="53" spans="27:33" ht="15.75" customHeight="1" x14ac:dyDescent="0.25">
      <c r="AA53" s="273" t="s">
        <v>73</v>
      </c>
      <c r="AB53" s="270" t="s">
        <v>24</v>
      </c>
      <c r="AC53" s="54" t="s">
        <v>27</v>
      </c>
      <c r="AD53" s="166">
        <f>COUNTIFS(JOURNAL!F:F,"6",JOURNAL!M:M,"Buy",JOURNAL!O:O,"TP")</f>
        <v>0</v>
      </c>
      <c r="AE53" s="270" t="s">
        <v>23</v>
      </c>
      <c r="AF53" s="54" t="s">
        <v>27</v>
      </c>
      <c r="AG53" s="166">
        <f>COUNTIFS(JOURNAL!F:F,"6",JOURNAL!M:M,"Sell",JOURNAL!O:O,"TP")</f>
        <v>0</v>
      </c>
    </row>
    <row r="54" spans="27:33" ht="15.75" x14ac:dyDescent="0.25">
      <c r="AA54" s="273"/>
      <c r="AB54" s="271"/>
      <c r="AC54" s="55" t="s">
        <v>29</v>
      </c>
      <c r="AD54" s="166">
        <f>COUNTIFS(JOURNAL!F:F,"6",JOURNAL!M:M,"Buy",JOURNAL!O:O,"SL")</f>
        <v>0</v>
      </c>
      <c r="AE54" s="271"/>
      <c r="AF54" s="55" t="s">
        <v>29</v>
      </c>
      <c r="AG54" s="166">
        <f>COUNTIFS(JOURNAL!F:F,"6",JOURNAL!M:M,"Sell",JOURNAL!O:O,"SL")</f>
        <v>0</v>
      </c>
    </row>
    <row r="55" spans="27:33" ht="15.75" x14ac:dyDescent="0.25">
      <c r="AA55" s="273"/>
      <c r="AB55" s="271"/>
      <c r="AC55" s="56" t="s">
        <v>32</v>
      </c>
      <c r="AD55" s="166">
        <f>COUNTIFS(JOURNAL!F:F,"6",JOURNAL!M:M,"Buy",JOURNAL!O:O,"RF")</f>
        <v>0</v>
      </c>
      <c r="AE55" s="271"/>
      <c r="AF55" s="56" t="s">
        <v>32</v>
      </c>
      <c r="AG55" s="166">
        <f>COUNTIFS(JOURNAL!F:F,"6",JOURNAL!M:M,"Sell",JOURNAL!O:O,"RF")</f>
        <v>0</v>
      </c>
    </row>
    <row r="56" spans="27:33" ht="15.75" x14ac:dyDescent="0.25">
      <c r="AA56" s="273"/>
      <c r="AB56" s="271"/>
      <c r="AC56" s="57" t="s">
        <v>30</v>
      </c>
      <c r="AD56" s="166">
        <f>COUNTIFS(JOURNAL!F:F,"6",JOURNAL!M:M,"Buy",JOURNAL!O:O,"PS")</f>
        <v>0</v>
      </c>
      <c r="AE56" s="271"/>
      <c r="AF56" s="57" t="s">
        <v>30</v>
      </c>
      <c r="AG56" s="166">
        <f>COUNTIFS(JOURNAL!F:F,"6",JOURNAL!M:M,"Sell",JOURNAL!O:O,"PS")</f>
        <v>0</v>
      </c>
    </row>
    <row r="57" spans="27:33" ht="15.75" x14ac:dyDescent="0.25">
      <c r="AA57" s="273"/>
      <c r="AB57" s="271"/>
      <c r="AC57" s="58" t="s">
        <v>31</v>
      </c>
      <c r="AD57" s="166">
        <f>COUNTIFS(JOURNAL!F:F,"6",JOURNAL!M:M,"Buy",JOURNAL!O:O,"LS")</f>
        <v>0</v>
      </c>
      <c r="AE57" s="271"/>
      <c r="AF57" s="58" t="s">
        <v>31</v>
      </c>
      <c r="AG57" s="166">
        <f>COUNTIFS(JOURNAL!F:F,"6",JOURNAL!M:M,"Sell",JOURNAL!O:O,"LS")</f>
        <v>0</v>
      </c>
    </row>
    <row r="58" spans="27:33" ht="15.75" x14ac:dyDescent="0.25">
      <c r="AA58" s="273"/>
      <c r="AB58" s="271"/>
      <c r="AC58" s="59" t="s">
        <v>33</v>
      </c>
      <c r="AD58" s="166">
        <f>COUNTIFS(JOURNAL!F:F,"6",JOURNAL!M:M,"Buy",JOURNAL!O:O,"OT +")</f>
        <v>0</v>
      </c>
      <c r="AE58" s="271"/>
      <c r="AF58" s="59" t="s">
        <v>33</v>
      </c>
      <c r="AG58" s="166">
        <f>COUNTIFS(JOURNAL!F:F,"6",JOURNAL!M:M,"Sell",JOURNAL!O:O,"OT +")</f>
        <v>0</v>
      </c>
    </row>
    <row r="59" spans="27:33" ht="15.75" x14ac:dyDescent="0.25">
      <c r="AA59" s="273"/>
      <c r="AB59" s="271"/>
      <c r="AC59" s="60" t="s">
        <v>34</v>
      </c>
      <c r="AD59" s="166">
        <f>COUNTIFS(JOURNAL!F:F,"6",JOURNAL!M:M,"Buy",JOURNAL!O:O,"OT -")</f>
        <v>0</v>
      </c>
      <c r="AE59" s="271"/>
      <c r="AF59" s="60" t="s">
        <v>34</v>
      </c>
      <c r="AG59" s="166">
        <f>COUNTIFS(JOURNAL!F:F,"6",JOURNAL!M:M,"Sell",JOURNAL!O:O,"OT -")</f>
        <v>0</v>
      </c>
    </row>
    <row r="60" spans="27:33" ht="15.75" x14ac:dyDescent="0.25">
      <c r="AA60" s="273"/>
      <c r="AB60" s="271"/>
      <c r="AC60" s="25" t="s">
        <v>115</v>
      </c>
      <c r="AD60" s="166">
        <f>SUM(AD53:AD59)</f>
        <v>0</v>
      </c>
      <c r="AE60" s="271"/>
      <c r="AF60" s="25" t="s">
        <v>115</v>
      </c>
      <c r="AG60" s="166">
        <f>SUM(AG53:AG59)</f>
        <v>0</v>
      </c>
    </row>
    <row r="61" spans="27:33" ht="15.75" x14ac:dyDescent="0.25">
      <c r="AA61" s="273"/>
      <c r="AB61" s="272"/>
      <c r="AC61" s="29" t="s">
        <v>44</v>
      </c>
      <c r="AD61" s="164" t="e">
        <f>SUM(AD53,AD55,AD56,AD58)/AD60</f>
        <v>#DIV/0!</v>
      </c>
      <c r="AE61" s="272"/>
      <c r="AF61" s="29" t="s">
        <v>44</v>
      </c>
      <c r="AG61" s="164" t="e">
        <f>SUM(AG53,AG55,AG56,AG58)/AG60</f>
        <v>#DIV/0!</v>
      </c>
    </row>
    <row r="63" spans="27:33" ht="15.75" customHeight="1" x14ac:dyDescent="0.25">
      <c r="AA63" s="273" t="s">
        <v>74</v>
      </c>
      <c r="AB63" s="270" t="s">
        <v>24</v>
      </c>
      <c r="AC63" s="54" t="s">
        <v>27</v>
      </c>
      <c r="AD63" s="166">
        <f>COUNTIFS(JOURNAL!F:F,"7",JOURNAL!M:M,"Buy",JOURNAL!O:O,"TP")</f>
        <v>0</v>
      </c>
      <c r="AE63" s="270" t="s">
        <v>23</v>
      </c>
      <c r="AF63" s="54" t="s">
        <v>27</v>
      </c>
      <c r="AG63" s="166">
        <f>COUNTIFS(JOURNAL!F:F,"7",JOURNAL!M:M,"Sell",JOURNAL!O:O,"TP")</f>
        <v>0</v>
      </c>
    </row>
    <row r="64" spans="27:33" ht="15.75" x14ac:dyDescent="0.25">
      <c r="AA64" s="273"/>
      <c r="AB64" s="271"/>
      <c r="AC64" s="55" t="s">
        <v>29</v>
      </c>
      <c r="AD64" s="166">
        <f>COUNTIFS(JOURNAL!F:F,"7",JOURNAL!M:M,"Buy",JOURNAL!O:O,"SL")</f>
        <v>0</v>
      </c>
      <c r="AE64" s="271"/>
      <c r="AF64" s="55" t="s">
        <v>29</v>
      </c>
      <c r="AG64" s="166">
        <f>COUNTIFS(JOURNAL!F:F,"7",JOURNAL!M:M,"Sell",JOURNAL!O:O,"SL")</f>
        <v>0</v>
      </c>
    </row>
    <row r="65" spans="27:33" ht="15.75" x14ac:dyDescent="0.25">
      <c r="AA65" s="273"/>
      <c r="AB65" s="271"/>
      <c r="AC65" s="56" t="s">
        <v>32</v>
      </c>
      <c r="AD65" s="166">
        <f>COUNTIFS(JOURNAL!F:F,"7",JOURNAL!M:M,"Buy",JOURNAL!O:O,"RF")</f>
        <v>0</v>
      </c>
      <c r="AE65" s="271"/>
      <c r="AF65" s="56" t="s">
        <v>32</v>
      </c>
      <c r="AG65" s="166">
        <f>COUNTIFS(JOURNAL!F:F,"7",JOURNAL!M:M,"Sell",JOURNAL!O:O,"RF")</f>
        <v>0</v>
      </c>
    </row>
    <row r="66" spans="27:33" ht="15.75" x14ac:dyDescent="0.25">
      <c r="AA66" s="273"/>
      <c r="AB66" s="271"/>
      <c r="AC66" s="57" t="s">
        <v>30</v>
      </c>
      <c r="AD66" s="166">
        <f>COUNTIFS(JOURNAL!F:F,"7",JOURNAL!M:M,"Buy",JOURNAL!O:O,"PS")</f>
        <v>0</v>
      </c>
      <c r="AE66" s="271"/>
      <c r="AF66" s="57" t="s">
        <v>30</v>
      </c>
      <c r="AG66" s="166">
        <f>COUNTIFS(JOURNAL!F:F,"7",JOURNAL!M:M,"Sell",JOURNAL!O:O,"PS")</f>
        <v>0</v>
      </c>
    </row>
    <row r="67" spans="27:33" ht="15.75" x14ac:dyDescent="0.25">
      <c r="AA67" s="273"/>
      <c r="AB67" s="271"/>
      <c r="AC67" s="58" t="s">
        <v>31</v>
      </c>
      <c r="AD67" s="166">
        <f>COUNTIFS(JOURNAL!F:F,"7",JOURNAL!M:M,"Buy",JOURNAL!O:O,"LS")</f>
        <v>0</v>
      </c>
      <c r="AE67" s="271"/>
      <c r="AF67" s="58" t="s">
        <v>31</v>
      </c>
      <c r="AG67" s="166">
        <f>COUNTIFS(JOURNAL!F:F,"7",JOURNAL!M:M,"Sell",JOURNAL!O:O,"LS")</f>
        <v>0</v>
      </c>
    </row>
    <row r="68" spans="27:33" ht="15.75" x14ac:dyDescent="0.25">
      <c r="AA68" s="273"/>
      <c r="AB68" s="271"/>
      <c r="AC68" s="59" t="s">
        <v>33</v>
      </c>
      <c r="AD68" s="166">
        <f>COUNTIFS(JOURNAL!F:F,"7",JOURNAL!M:M,"Buy",JOURNAL!O:O,"OT +")</f>
        <v>0</v>
      </c>
      <c r="AE68" s="271"/>
      <c r="AF68" s="59" t="s">
        <v>33</v>
      </c>
      <c r="AG68" s="166">
        <f>COUNTIFS(JOURNAL!F:F,"7",JOURNAL!M:M,"Sell",JOURNAL!O:O,"OT +")</f>
        <v>0</v>
      </c>
    </row>
    <row r="69" spans="27:33" ht="15.75" x14ac:dyDescent="0.25">
      <c r="AA69" s="273"/>
      <c r="AB69" s="271"/>
      <c r="AC69" s="60" t="s">
        <v>34</v>
      </c>
      <c r="AD69" s="166">
        <f>COUNTIFS(JOURNAL!F:F,"7",JOURNAL!M:M,"Buy",JOURNAL!O:O,"OT -")</f>
        <v>0</v>
      </c>
      <c r="AE69" s="271"/>
      <c r="AF69" s="60" t="s">
        <v>34</v>
      </c>
      <c r="AG69" s="166">
        <f>COUNTIFS(JOURNAL!F:F,"7",JOURNAL!M:M,"Sell",JOURNAL!O:O,"OT -")</f>
        <v>0</v>
      </c>
    </row>
    <row r="70" spans="27:33" ht="15.75" x14ac:dyDescent="0.25">
      <c r="AA70" s="273"/>
      <c r="AB70" s="271"/>
      <c r="AC70" s="25" t="s">
        <v>115</v>
      </c>
      <c r="AD70" s="166">
        <f>SUM(AD63:AD69)</f>
        <v>0</v>
      </c>
      <c r="AE70" s="271"/>
      <c r="AF70" s="25" t="s">
        <v>115</v>
      </c>
      <c r="AG70" s="166">
        <f>SUM(AG63:AG69)</f>
        <v>0</v>
      </c>
    </row>
    <row r="71" spans="27:33" ht="15.75" x14ac:dyDescent="0.25">
      <c r="AA71" s="273"/>
      <c r="AB71" s="272"/>
      <c r="AC71" s="29" t="s">
        <v>44</v>
      </c>
      <c r="AD71" s="164" t="e">
        <f>SUM(AD63,AD65,AD66,AD68)/AD70</f>
        <v>#DIV/0!</v>
      </c>
      <c r="AE71" s="272"/>
      <c r="AF71" s="29" t="s">
        <v>44</v>
      </c>
      <c r="AG71" s="164" t="e">
        <f>SUM(AG63,AG65,AG66,AG68)/AG70</f>
        <v>#DIV/0!</v>
      </c>
    </row>
    <row r="73" spans="27:33" ht="15.75" customHeight="1" x14ac:dyDescent="0.25">
      <c r="AA73" s="273" t="s">
        <v>75</v>
      </c>
      <c r="AB73" s="270" t="s">
        <v>24</v>
      </c>
      <c r="AC73" s="54" t="s">
        <v>27</v>
      </c>
      <c r="AD73" s="166">
        <f>COUNTIFS(JOURNAL!F:F,"8",JOURNAL!M:M,"Buy",JOURNAL!O:O,"TP")</f>
        <v>0</v>
      </c>
      <c r="AE73" s="270" t="s">
        <v>23</v>
      </c>
      <c r="AF73" s="54" t="s">
        <v>27</v>
      </c>
      <c r="AG73" s="166">
        <f>COUNTIFS(JOURNAL!F:F,"8",JOURNAL!M:M,"Sell",JOURNAL!O:O,"TP")</f>
        <v>0</v>
      </c>
    </row>
    <row r="74" spans="27:33" ht="15.75" x14ac:dyDescent="0.25">
      <c r="AA74" s="273"/>
      <c r="AB74" s="271"/>
      <c r="AC74" s="55" t="s">
        <v>29</v>
      </c>
      <c r="AD74" s="166">
        <f>COUNTIFS(JOURNAL!F:F,"8",JOURNAL!M:M,"Buy",JOURNAL!O:O,"SL")</f>
        <v>0</v>
      </c>
      <c r="AE74" s="271"/>
      <c r="AF74" s="55" t="s">
        <v>29</v>
      </c>
      <c r="AG74" s="166">
        <f>COUNTIFS(JOURNAL!F:F,"8",JOURNAL!M:M,"Sell",JOURNAL!O:O,"SL")</f>
        <v>0</v>
      </c>
    </row>
    <row r="75" spans="27:33" ht="15.75" x14ac:dyDescent="0.25">
      <c r="AA75" s="273"/>
      <c r="AB75" s="271"/>
      <c r="AC75" s="56" t="s">
        <v>32</v>
      </c>
      <c r="AD75" s="166">
        <f>COUNTIFS(JOURNAL!F:F,"8",JOURNAL!M:M,"Buy",JOURNAL!O:O,"RF")</f>
        <v>0</v>
      </c>
      <c r="AE75" s="271"/>
      <c r="AF75" s="56" t="s">
        <v>32</v>
      </c>
      <c r="AG75" s="166">
        <f>COUNTIFS(JOURNAL!F:F,"8",JOURNAL!M:M,"Sell",JOURNAL!O:O,"RF")</f>
        <v>0</v>
      </c>
    </row>
    <row r="76" spans="27:33" ht="15.75" x14ac:dyDescent="0.25">
      <c r="AA76" s="273"/>
      <c r="AB76" s="271"/>
      <c r="AC76" s="57" t="s">
        <v>30</v>
      </c>
      <c r="AD76" s="166">
        <f>COUNTIFS(JOURNAL!F:F,"8",JOURNAL!M:M,"Buy",JOURNAL!O:O,"PS")</f>
        <v>0</v>
      </c>
      <c r="AE76" s="271"/>
      <c r="AF76" s="57" t="s">
        <v>30</v>
      </c>
      <c r="AG76" s="166">
        <f>COUNTIFS(JOURNAL!F:F,"8",JOURNAL!M:M,"Sell",JOURNAL!O:O,"PS")</f>
        <v>0</v>
      </c>
    </row>
    <row r="77" spans="27:33" ht="15.75" x14ac:dyDescent="0.25">
      <c r="AA77" s="273"/>
      <c r="AB77" s="271"/>
      <c r="AC77" s="58" t="s">
        <v>31</v>
      </c>
      <c r="AD77" s="166">
        <f>COUNTIFS(JOURNAL!F:F,"8",JOURNAL!M:M,"Buy",JOURNAL!O:O,"LS")</f>
        <v>0</v>
      </c>
      <c r="AE77" s="271"/>
      <c r="AF77" s="58" t="s">
        <v>31</v>
      </c>
      <c r="AG77" s="166">
        <f>COUNTIFS(JOURNAL!F:F,"8",JOURNAL!M:M,"Sell",JOURNAL!O:O,"LS")</f>
        <v>0</v>
      </c>
    </row>
    <row r="78" spans="27:33" ht="15.75" x14ac:dyDescent="0.25">
      <c r="AA78" s="273"/>
      <c r="AB78" s="271"/>
      <c r="AC78" s="59" t="s">
        <v>33</v>
      </c>
      <c r="AD78" s="166">
        <f>COUNTIFS(JOURNAL!F:F,"8",JOURNAL!M:M,"Buy",JOURNAL!O:O,"OT +")</f>
        <v>0</v>
      </c>
      <c r="AE78" s="271"/>
      <c r="AF78" s="59" t="s">
        <v>33</v>
      </c>
      <c r="AG78" s="166">
        <f>COUNTIFS(JOURNAL!F:F,"8",JOURNAL!M:M,"Sell",JOURNAL!O:O,"OT +")</f>
        <v>0</v>
      </c>
    </row>
    <row r="79" spans="27:33" ht="15.75" x14ac:dyDescent="0.25">
      <c r="AA79" s="273"/>
      <c r="AB79" s="271"/>
      <c r="AC79" s="60" t="s">
        <v>34</v>
      </c>
      <c r="AD79" s="166">
        <f>COUNTIFS(JOURNAL!F:F,"8",JOURNAL!M:M,"Buy",JOURNAL!O:O,"OT -")</f>
        <v>0</v>
      </c>
      <c r="AE79" s="271"/>
      <c r="AF79" s="60" t="s">
        <v>34</v>
      </c>
      <c r="AG79" s="166">
        <f>COUNTIFS(JOURNAL!F:F,"8",JOURNAL!M:M,"Sell",JOURNAL!O:O,"OT -")</f>
        <v>0</v>
      </c>
    </row>
    <row r="80" spans="27:33" ht="15.75" x14ac:dyDescent="0.25">
      <c r="AA80" s="273"/>
      <c r="AB80" s="271"/>
      <c r="AC80" s="25" t="s">
        <v>115</v>
      </c>
      <c r="AD80" s="166">
        <f>SUM(AD73:AD79)</f>
        <v>0</v>
      </c>
      <c r="AE80" s="271"/>
      <c r="AF80" s="25" t="s">
        <v>115</v>
      </c>
      <c r="AG80" s="166">
        <f>SUM(AG73:AG79)</f>
        <v>0</v>
      </c>
    </row>
    <row r="81" spans="27:33" ht="15.75" x14ac:dyDescent="0.25">
      <c r="AA81" s="273"/>
      <c r="AB81" s="272"/>
      <c r="AC81" s="29" t="s">
        <v>44</v>
      </c>
      <c r="AD81" s="164" t="e">
        <f>SUM(AD73,AD75,AD76,AD78)/AD80</f>
        <v>#DIV/0!</v>
      </c>
      <c r="AE81" s="272"/>
      <c r="AF81" s="29" t="s">
        <v>44</v>
      </c>
      <c r="AG81" s="164" t="e">
        <f>SUM(AG73,AG75,AG76,AG78)/AG80</f>
        <v>#DIV/0!</v>
      </c>
    </row>
    <row r="83" spans="27:33" ht="15.75" customHeight="1" x14ac:dyDescent="0.25">
      <c r="AA83" s="273" t="s">
        <v>76</v>
      </c>
      <c r="AB83" s="270" t="s">
        <v>24</v>
      </c>
      <c r="AC83" s="54" t="s">
        <v>27</v>
      </c>
      <c r="AD83" s="166">
        <f>COUNTIFS(JOURNAL!F:F,"9",JOURNAL!M:M,"Buy",JOURNAL!O:O,"TP")</f>
        <v>0</v>
      </c>
      <c r="AE83" s="270" t="s">
        <v>23</v>
      </c>
      <c r="AF83" s="54" t="s">
        <v>27</v>
      </c>
      <c r="AG83" s="166">
        <f>COUNTIFS(JOURNAL!F:F,"9",JOURNAL!M:M,"Sell",JOURNAL!O:O,"TP")</f>
        <v>0</v>
      </c>
    </row>
    <row r="84" spans="27:33" ht="15.75" x14ac:dyDescent="0.25">
      <c r="AA84" s="273"/>
      <c r="AB84" s="271"/>
      <c r="AC84" s="55" t="s">
        <v>29</v>
      </c>
      <c r="AD84" s="166">
        <f>COUNTIFS(JOURNAL!F:F,"9",JOURNAL!M:M,"Buy",JOURNAL!O:O,"SL")</f>
        <v>0</v>
      </c>
      <c r="AE84" s="271"/>
      <c r="AF84" s="55" t="s">
        <v>29</v>
      </c>
      <c r="AG84" s="166">
        <f>COUNTIFS(JOURNAL!F:F,"9",JOURNAL!M:M,"Sell",JOURNAL!O:O,"SL")</f>
        <v>0</v>
      </c>
    </row>
    <row r="85" spans="27:33" ht="15.75" x14ac:dyDescent="0.25">
      <c r="AA85" s="273"/>
      <c r="AB85" s="271"/>
      <c r="AC85" s="56" t="s">
        <v>32</v>
      </c>
      <c r="AD85" s="166">
        <f>COUNTIFS(JOURNAL!F:F,"9",JOURNAL!M:M,"Buy",JOURNAL!O:O,"RF")</f>
        <v>0</v>
      </c>
      <c r="AE85" s="271"/>
      <c r="AF85" s="56" t="s">
        <v>32</v>
      </c>
      <c r="AG85" s="166">
        <f>COUNTIFS(JOURNAL!F:F,"9",JOURNAL!M:M,"Sell",JOURNAL!O:O,"RF")</f>
        <v>0</v>
      </c>
    </row>
    <row r="86" spans="27:33" ht="15.75" x14ac:dyDescent="0.25">
      <c r="AA86" s="273"/>
      <c r="AB86" s="271"/>
      <c r="AC86" s="57" t="s">
        <v>30</v>
      </c>
      <c r="AD86" s="166">
        <f>COUNTIFS(JOURNAL!F:F,"9",JOURNAL!M:M,"Buy",JOURNAL!O:O,"PS")</f>
        <v>0</v>
      </c>
      <c r="AE86" s="271"/>
      <c r="AF86" s="57" t="s">
        <v>30</v>
      </c>
      <c r="AG86" s="166">
        <f>COUNTIFS(JOURNAL!F:F,"9",JOURNAL!M:M,"Sell",JOURNAL!O:O,"PS")</f>
        <v>0</v>
      </c>
    </row>
    <row r="87" spans="27:33" ht="15.75" x14ac:dyDescent="0.25">
      <c r="AA87" s="273"/>
      <c r="AB87" s="271"/>
      <c r="AC87" s="58" t="s">
        <v>31</v>
      </c>
      <c r="AD87" s="166">
        <f>COUNTIFS(JOURNAL!F:F,"9",JOURNAL!M:M,"Buy",JOURNAL!O:O,"LS")</f>
        <v>0</v>
      </c>
      <c r="AE87" s="271"/>
      <c r="AF87" s="58" t="s">
        <v>31</v>
      </c>
      <c r="AG87" s="166">
        <f>COUNTIFS(JOURNAL!F:F,"9",JOURNAL!M:M,"Sell",JOURNAL!O:O,"LS")</f>
        <v>0</v>
      </c>
    </row>
    <row r="88" spans="27:33" ht="15.75" x14ac:dyDescent="0.25">
      <c r="AA88" s="273"/>
      <c r="AB88" s="271"/>
      <c r="AC88" s="59" t="s">
        <v>33</v>
      </c>
      <c r="AD88" s="166">
        <f>COUNTIFS(JOURNAL!F:F,"9",JOURNAL!M:M,"Buy",JOURNAL!O:O,"OT +")</f>
        <v>0</v>
      </c>
      <c r="AE88" s="271"/>
      <c r="AF88" s="59" t="s">
        <v>33</v>
      </c>
      <c r="AG88" s="166">
        <f>COUNTIFS(JOURNAL!F:F,"9",JOURNAL!M:M,"Sell",JOURNAL!O:O,"OT +")</f>
        <v>0</v>
      </c>
    </row>
    <row r="89" spans="27:33" ht="15.75" x14ac:dyDescent="0.25">
      <c r="AA89" s="273"/>
      <c r="AB89" s="271"/>
      <c r="AC89" s="60" t="s">
        <v>34</v>
      </c>
      <c r="AD89" s="166">
        <f>COUNTIFS(JOURNAL!F:F,"9",JOURNAL!M:M,"Buy",JOURNAL!O:O,"OT -")</f>
        <v>0</v>
      </c>
      <c r="AE89" s="271"/>
      <c r="AF89" s="60" t="s">
        <v>34</v>
      </c>
      <c r="AG89" s="166">
        <f>COUNTIFS(JOURNAL!F:F,"9",JOURNAL!M:M,"Sell",JOURNAL!O:O,"OT -")</f>
        <v>0</v>
      </c>
    </row>
    <row r="90" spans="27:33" ht="15.75" x14ac:dyDescent="0.25">
      <c r="AA90" s="273"/>
      <c r="AB90" s="271"/>
      <c r="AC90" s="25" t="s">
        <v>115</v>
      </c>
      <c r="AD90" s="166">
        <f>SUM(AD83:AD89)</f>
        <v>0</v>
      </c>
      <c r="AE90" s="271"/>
      <c r="AF90" s="25" t="s">
        <v>115</v>
      </c>
      <c r="AG90" s="166">
        <f>SUM(AG83:AG89)</f>
        <v>0</v>
      </c>
    </row>
    <row r="91" spans="27:33" ht="15.75" x14ac:dyDescent="0.25">
      <c r="AA91" s="273"/>
      <c r="AB91" s="272"/>
      <c r="AC91" s="29" t="s">
        <v>44</v>
      </c>
      <c r="AD91" s="164" t="e">
        <f>SUM(AD83,AD85,AD86,AD88)/AD90</f>
        <v>#DIV/0!</v>
      </c>
      <c r="AE91" s="272"/>
      <c r="AF91" s="29" t="s">
        <v>44</v>
      </c>
      <c r="AG91" s="164" t="e">
        <f>SUM(AG83,AG85,AG86,AG88)/AG90</f>
        <v>#DIV/0!</v>
      </c>
    </row>
    <row r="93" spans="27:33" ht="15.75" customHeight="1" x14ac:dyDescent="0.25">
      <c r="AA93" s="273" t="s">
        <v>77</v>
      </c>
      <c r="AB93" s="270" t="s">
        <v>24</v>
      </c>
      <c r="AC93" s="54" t="s">
        <v>27</v>
      </c>
      <c r="AD93" s="166">
        <f>COUNTIFS(JOURNAL!F:F,"10",JOURNAL!M:M,"Buy",JOURNAL!O:O,"TP")</f>
        <v>0</v>
      </c>
      <c r="AE93" s="270" t="s">
        <v>23</v>
      </c>
      <c r="AF93" s="54" t="s">
        <v>27</v>
      </c>
      <c r="AG93" s="166">
        <f>COUNTIFS(JOURNAL!F:F,"10",JOURNAL!M:M,"Sell",JOURNAL!O:O,"TP")</f>
        <v>0</v>
      </c>
    </row>
    <row r="94" spans="27:33" ht="15.75" x14ac:dyDescent="0.25">
      <c r="AA94" s="273"/>
      <c r="AB94" s="271"/>
      <c r="AC94" s="55" t="s">
        <v>29</v>
      </c>
      <c r="AD94" s="166">
        <f>COUNTIFS(JOURNAL!F:F,"10",JOURNAL!M:M,"Buy",JOURNAL!O:O,"SL")</f>
        <v>0</v>
      </c>
      <c r="AE94" s="271"/>
      <c r="AF94" s="55" t="s">
        <v>29</v>
      </c>
      <c r="AG94" s="166">
        <f>COUNTIFS(JOURNAL!F:F,"10",JOURNAL!M:M,"Sell",JOURNAL!O:O,"SL")</f>
        <v>0</v>
      </c>
    </row>
    <row r="95" spans="27:33" ht="15.75" x14ac:dyDescent="0.25">
      <c r="AA95" s="273"/>
      <c r="AB95" s="271"/>
      <c r="AC95" s="56" t="s">
        <v>32</v>
      </c>
      <c r="AD95" s="166">
        <f>COUNTIFS(JOURNAL!F:F,"10",JOURNAL!M:M,"Buy",JOURNAL!O:O,"RF")</f>
        <v>0</v>
      </c>
      <c r="AE95" s="271"/>
      <c r="AF95" s="56" t="s">
        <v>32</v>
      </c>
      <c r="AG95" s="166">
        <f>COUNTIFS(JOURNAL!F:F,"10",JOURNAL!M:M,"Sell",JOURNAL!O:O,"RF")</f>
        <v>0</v>
      </c>
    </row>
    <row r="96" spans="27:33" ht="15.75" x14ac:dyDescent="0.25">
      <c r="AA96" s="273"/>
      <c r="AB96" s="271"/>
      <c r="AC96" s="57" t="s">
        <v>30</v>
      </c>
      <c r="AD96" s="166">
        <f>COUNTIFS(JOURNAL!F:F,"10",JOURNAL!M:M,"Buy",JOURNAL!O:O,"PS")</f>
        <v>0</v>
      </c>
      <c r="AE96" s="271"/>
      <c r="AF96" s="57" t="s">
        <v>30</v>
      </c>
      <c r="AG96" s="166">
        <f>COUNTIFS(JOURNAL!F:F,"10",JOURNAL!M:M,"Sell",JOURNAL!O:O,"PS")</f>
        <v>0</v>
      </c>
    </row>
    <row r="97" spans="27:33" ht="15.75" x14ac:dyDescent="0.25">
      <c r="AA97" s="273"/>
      <c r="AB97" s="271"/>
      <c r="AC97" s="58" t="s">
        <v>31</v>
      </c>
      <c r="AD97" s="166">
        <f>COUNTIFS(JOURNAL!F:F,"10",JOURNAL!M:M,"Buy",JOURNAL!O:O,"LS")</f>
        <v>0</v>
      </c>
      <c r="AE97" s="271"/>
      <c r="AF97" s="58" t="s">
        <v>31</v>
      </c>
      <c r="AG97" s="166">
        <f>COUNTIFS(JOURNAL!F:F,"10",JOURNAL!M:M,"Sell",JOURNAL!O:O,"LS")</f>
        <v>0</v>
      </c>
    </row>
    <row r="98" spans="27:33" ht="15.75" x14ac:dyDescent="0.25">
      <c r="AA98" s="273"/>
      <c r="AB98" s="271"/>
      <c r="AC98" s="59" t="s">
        <v>33</v>
      </c>
      <c r="AD98" s="166">
        <f>COUNTIFS(JOURNAL!F:F,"10",JOURNAL!M:M,"Buy",JOURNAL!O:O,"OT +")</f>
        <v>0</v>
      </c>
      <c r="AE98" s="271"/>
      <c r="AF98" s="59" t="s">
        <v>33</v>
      </c>
      <c r="AG98" s="166">
        <f>COUNTIFS(JOURNAL!F:F,"10",JOURNAL!M:M,"Sell",JOURNAL!O:O,"OT +")</f>
        <v>0</v>
      </c>
    </row>
    <row r="99" spans="27:33" ht="15.75" x14ac:dyDescent="0.25">
      <c r="AA99" s="273"/>
      <c r="AB99" s="271"/>
      <c r="AC99" s="60" t="s">
        <v>34</v>
      </c>
      <c r="AD99" s="166">
        <f>COUNTIFS(JOURNAL!F:F,"10",JOURNAL!M:M,"Buy",JOURNAL!O:O,"OT -")</f>
        <v>0</v>
      </c>
      <c r="AE99" s="271"/>
      <c r="AF99" s="60" t="s">
        <v>34</v>
      </c>
      <c r="AG99" s="166">
        <f>COUNTIFS(JOURNAL!F:F,"10",JOURNAL!M:M,"Sell",JOURNAL!O:O,"OT -")</f>
        <v>0</v>
      </c>
    </row>
    <row r="100" spans="27:33" ht="15.75" x14ac:dyDescent="0.25">
      <c r="AA100" s="273"/>
      <c r="AB100" s="271"/>
      <c r="AC100" s="25" t="s">
        <v>115</v>
      </c>
      <c r="AD100" s="166">
        <f>SUM(AD93:AD99)</f>
        <v>0</v>
      </c>
      <c r="AE100" s="271"/>
      <c r="AF100" s="25" t="s">
        <v>115</v>
      </c>
      <c r="AG100" s="166">
        <f>SUM(AG93:AG99)</f>
        <v>0</v>
      </c>
    </row>
    <row r="101" spans="27:33" ht="15.75" x14ac:dyDescent="0.25">
      <c r="AA101" s="273"/>
      <c r="AB101" s="272"/>
      <c r="AC101" s="29" t="s">
        <v>44</v>
      </c>
      <c r="AD101" s="164" t="e">
        <f>SUM(AD93,AD95,AD96,AD98)/AD100</f>
        <v>#DIV/0!</v>
      </c>
      <c r="AE101" s="272"/>
      <c r="AF101" s="29" t="s">
        <v>44</v>
      </c>
      <c r="AG101" s="164" t="e">
        <f>SUM(AG93,AG95,AG96,AG98)/AG100</f>
        <v>#DIV/0!</v>
      </c>
    </row>
    <row r="103" spans="27:33" ht="15.75" customHeight="1" x14ac:dyDescent="0.25">
      <c r="AA103" s="273" t="s">
        <v>78</v>
      </c>
      <c r="AB103" s="270" t="s">
        <v>24</v>
      </c>
      <c r="AC103" s="54" t="s">
        <v>27</v>
      </c>
      <c r="AD103" s="166">
        <f>COUNTIFS(JOURNAL!F:F,"11",JOURNAL!M:M,"Buy",JOURNAL!O:O,"TP")</f>
        <v>0</v>
      </c>
      <c r="AE103" s="270" t="s">
        <v>23</v>
      </c>
      <c r="AF103" s="54" t="s">
        <v>27</v>
      </c>
      <c r="AG103" s="166">
        <f>COUNTIFS(JOURNAL!F:F,"11",JOURNAL!M:M,"Sell",JOURNAL!O:O,"TP")</f>
        <v>0</v>
      </c>
    </row>
    <row r="104" spans="27:33" ht="15.75" x14ac:dyDescent="0.25">
      <c r="AA104" s="273"/>
      <c r="AB104" s="271"/>
      <c r="AC104" s="55" t="s">
        <v>29</v>
      </c>
      <c r="AD104" s="166">
        <f>COUNTIFS(JOURNAL!F:F,"11",JOURNAL!M:M,"Buy",JOURNAL!O:O,"SL")</f>
        <v>0</v>
      </c>
      <c r="AE104" s="271"/>
      <c r="AF104" s="55" t="s">
        <v>29</v>
      </c>
      <c r="AG104" s="166">
        <f>COUNTIFS(JOURNAL!F:F,"11",JOURNAL!M:M,"Sell",JOURNAL!O:O,"SL")</f>
        <v>0</v>
      </c>
    </row>
    <row r="105" spans="27:33" ht="15.75" x14ac:dyDescent="0.25">
      <c r="AA105" s="273"/>
      <c r="AB105" s="271"/>
      <c r="AC105" s="56" t="s">
        <v>32</v>
      </c>
      <c r="AD105" s="166">
        <f>COUNTIFS(JOURNAL!F:F,"11",JOURNAL!M:M,"Buy",JOURNAL!O:O,"RF")</f>
        <v>0</v>
      </c>
      <c r="AE105" s="271"/>
      <c r="AF105" s="56" t="s">
        <v>32</v>
      </c>
      <c r="AG105" s="166">
        <f>COUNTIFS(JOURNAL!F:F,"11",JOURNAL!M:M,"Sell",JOURNAL!O:O,"RF")</f>
        <v>0</v>
      </c>
    </row>
    <row r="106" spans="27:33" ht="15.75" x14ac:dyDescent="0.25">
      <c r="AA106" s="273"/>
      <c r="AB106" s="271"/>
      <c r="AC106" s="57" t="s">
        <v>30</v>
      </c>
      <c r="AD106" s="166">
        <f>COUNTIFS(JOURNAL!F:F,"11",JOURNAL!M:M,"Buy",JOURNAL!O:O,"PS")</f>
        <v>0</v>
      </c>
      <c r="AE106" s="271"/>
      <c r="AF106" s="57" t="s">
        <v>30</v>
      </c>
      <c r="AG106" s="166">
        <f>COUNTIFS(JOURNAL!F:F,"11",JOURNAL!M:M,"Sell",JOURNAL!O:O,"PS")</f>
        <v>0</v>
      </c>
    </row>
    <row r="107" spans="27:33" ht="15.75" x14ac:dyDescent="0.25">
      <c r="AA107" s="273"/>
      <c r="AB107" s="271"/>
      <c r="AC107" s="58" t="s">
        <v>31</v>
      </c>
      <c r="AD107" s="166">
        <f>COUNTIFS(JOURNAL!F:F,"11",JOURNAL!M:M,"Buy",JOURNAL!O:O,"LS")</f>
        <v>0</v>
      </c>
      <c r="AE107" s="271"/>
      <c r="AF107" s="58" t="s">
        <v>31</v>
      </c>
      <c r="AG107" s="166">
        <f>COUNTIFS(JOURNAL!F:F,"11",JOURNAL!M:M,"Sell",JOURNAL!O:O,"LS")</f>
        <v>0</v>
      </c>
    </row>
    <row r="108" spans="27:33" ht="15.75" x14ac:dyDescent="0.25">
      <c r="AA108" s="273"/>
      <c r="AB108" s="271"/>
      <c r="AC108" s="59" t="s">
        <v>33</v>
      </c>
      <c r="AD108" s="166">
        <f>COUNTIFS(JOURNAL!F:F,"11",JOURNAL!M:M,"Buy",JOURNAL!O:O,"OT +")</f>
        <v>0</v>
      </c>
      <c r="AE108" s="271"/>
      <c r="AF108" s="59" t="s">
        <v>33</v>
      </c>
      <c r="AG108" s="166">
        <f>COUNTIFS(JOURNAL!F:F,"11",JOURNAL!M:M,"Sell",JOURNAL!O:O,"OT +")</f>
        <v>0</v>
      </c>
    </row>
    <row r="109" spans="27:33" ht="15.75" x14ac:dyDescent="0.25">
      <c r="AA109" s="273"/>
      <c r="AB109" s="271"/>
      <c r="AC109" s="60" t="s">
        <v>34</v>
      </c>
      <c r="AD109" s="166">
        <f>COUNTIFS(JOURNAL!F:F,"11",JOURNAL!M:M,"Buy",JOURNAL!O:O,"OT -")</f>
        <v>0</v>
      </c>
      <c r="AE109" s="271"/>
      <c r="AF109" s="60" t="s">
        <v>34</v>
      </c>
      <c r="AG109" s="166">
        <f>COUNTIFS(JOURNAL!F:F,"11",JOURNAL!M:M,"Sell",JOURNAL!O:O,"OT -")</f>
        <v>0</v>
      </c>
    </row>
    <row r="110" spans="27:33" ht="15.75" x14ac:dyDescent="0.25">
      <c r="AA110" s="273"/>
      <c r="AB110" s="271"/>
      <c r="AC110" s="25" t="s">
        <v>115</v>
      </c>
      <c r="AD110" s="166">
        <f>SUM(AD103:AD109)</f>
        <v>0</v>
      </c>
      <c r="AE110" s="271"/>
      <c r="AF110" s="25" t="s">
        <v>115</v>
      </c>
      <c r="AG110" s="166">
        <f>SUM(AG103:AG109)</f>
        <v>0</v>
      </c>
    </row>
    <row r="111" spans="27:33" ht="15.75" x14ac:dyDescent="0.25">
      <c r="AA111" s="273"/>
      <c r="AB111" s="272"/>
      <c r="AC111" s="29" t="s">
        <v>44</v>
      </c>
      <c r="AD111" s="164" t="e">
        <f>SUM(AD103,AD105,AD106,AD108)/AD110</f>
        <v>#DIV/0!</v>
      </c>
      <c r="AE111" s="272"/>
      <c r="AF111" s="29" t="s">
        <v>44</v>
      </c>
      <c r="AG111" s="164" t="e">
        <f>SUM(AG103,AG105,AG106,AG108)/AG110</f>
        <v>#DIV/0!</v>
      </c>
    </row>
    <row r="113" spans="27:33" ht="15.75" customHeight="1" x14ac:dyDescent="0.25">
      <c r="AA113" s="273" t="s">
        <v>79</v>
      </c>
      <c r="AB113" s="270" t="s">
        <v>24</v>
      </c>
      <c r="AC113" s="54" t="s">
        <v>27</v>
      </c>
      <c r="AD113" s="166">
        <f>COUNTIFS(JOURNAL!F:F,"12",JOURNAL!M:M,"Buy",JOURNAL!O:O,"TP")</f>
        <v>0</v>
      </c>
      <c r="AE113" s="270" t="s">
        <v>23</v>
      </c>
      <c r="AF113" s="54" t="s">
        <v>27</v>
      </c>
      <c r="AG113" s="166">
        <f>COUNTIFS(JOURNAL!F:F,"12",JOURNAL!M:M,"Sell",JOURNAL!O:O,"TP")</f>
        <v>0</v>
      </c>
    </row>
    <row r="114" spans="27:33" ht="15.75" x14ac:dyDescent="0.25">
      <c r="AA114" s="273"/>
      <c r="AB114" s="271"/>
      <c r="AC114" s="55" t="s">
        <v>29</v>
      </c>
      <c r="AD114" s="166">
        <f>COUNTIFS(JOURNAL!F:F,"12",JOURNAL!M:M,"Buy",JOURNAL!O:O,"SL")</f>
        <v>0</v>
      </c>
      <c r="AE114" s="271"/>
      <c r="AF114" s="55" t="s">
        <v>29</v>
      </c>
      <c r="AG114" s="166">
        <f>COUNTIFS(JOURNAL!F:F,"12",JOURNAL!M:M,"Sell",JOURNAL!O:O,"SL")</f>
        <v>0</v>
      </c>
    </row>
    <row r="115" spans="27:33" ht="15.75" x14ac:dyDescent="0.25">
      <c r="AA115" s="273"/>
      <c r="AB115" s="271"/>
      <c r="AC115" s="56" t="s">
        <v>32</v>
      </c>
      <c r="AD115" s="166">
        <f>COUNTIFS(JOURNAL!F:F,"12",JOURNAL!M:M,"Buy",JOURNAL!O:O,"RF")</f>
        <v>0</v>
      </c>
      <c r="AE115" s="271"/>
      <c r="AF115" s="56" t="s">
        <v>32</v>
      </c>
      <c r="AG115" s="166">
        <f>COUNTIFS(JOURNAL!F:F,"12",JOURNAL!M:M,"Sell",JOURNAL!O:O,"RF")</f>
        <v>0</v>
      </c>
    </row>
    <row r="116" spans="27:33" ht="15.75" x14ac:dyDescent="0.25">
      <c r="AA116" s="273"/>
      <c r="AB116" s="271"/>
      <c r="AC116" s="57" t="s">
        <v>30</v>
      </c>
      <c r="AD116" s="166">
        <f>COUNTIFS(JOURNAL!F:F,"12",JOURNAL!M:M,"Buy",JOURNAL!O:O,"PS")</f>
        <v>0</v>
      </c>
      <c r="AE116" s="271"/>
      <c r="AF116" s="57" t="s">
        <v>30</v>
      </c>
      <c r="AG116" s="166">
        <f>COUNTIFS(JOURNAL!F:F,"12",JOURNAL!M:M,"Sell",JOURNAL!O:O,"PS")</f>
        <v>0</v>
      </c>
    </row>
    <row r="117" spans="27:33" ht="15.75" x14ac:dyDescent="0.25">
      <c r="AA117" s="273"/>
      <c r="AB117" s="271"/>
      <c r="AC117" s="58" t="s">
        <v>31</v>
      </c>
      <c r="AD117" s="166">
        <f>COUNTIFS(JOURNAL!F:F,"12",JOURNAL!M:M,"Buy",JOURNAL!O:O,"LS")</f>
        <v>0</v>
      </c>
      <c r="AE117" s="271"/>
      <c r="AF117" s="58" t="s">
        <v>31</v>
      </c>
      <c r="AG117" s="166">
        <f>COUNTIFS(JOURNAL!F:F,"12",JOURNAL!M:M,"Sell",JOURNAL!O:O,"LS")</f>
        <v>0</v>
      </c>
    </row>
    <row r="118" spans="27:33" ht="15.75" x14ac:dyDescent="0.25">
      <c r="AA118" s="273"/>
      <c r="AB118" s="271"/>
      <c r="AC118" s="59" t="s">
        <v>33</v>
      </c>
      <c r="AD118" s="166">
        <f>COUNTIFS(JOURNAL!F:F,"12",JOURNAL!M:M,"Buy",JOURNAL!O:O,"OT +")</f>
        <v>0</v>
      </c>
      <c r="AE118" s="271"/>
      <c r="AF118" s="59" t="s">
        <v>33</v>
      </c>
      <c r="AG118" s="166">
        <f>COUNTIFS(JOURNAL!F:F,"12",JOURNAL!M:M,"Sell",JOURNAL!O:O,"OT +")</f>
        <v>0</v>
      </c>
    </row>
    <row r="119" spans="27:33" ht="15.75" x14ac:dyDescent="0.25">
      <c r="AA119" s="273"/>
      <c r="AB119" s="271"/>
      <c r="AC119" s="60" t="s">
        <v>34</v>
      </c>
      <c r="AD119" s="166">
        <f>COUNTIFS(JOURNAL!F:F,"12",JOURNAL!M:M,"Buy",JOURNAL!O:O,"OT -")</f>
        <v>0</v>
      </c>
      <c r="AE119" s="271"/>
      <c r="AF119" s="60" t="s">
        <v>34</v>
      </c>
      <c r="AG119" s="166">
        <f>COUNTIFS(JOURNAL!F:F,"12",JOURNAL!M:M,"Sell",JOURNAL!O:O,"OT -")</f>
        <v>0</v>
      </c>
    </row>
    <row r="120" spans="27:33" ht="15.75" x14ac:dyDescent="0.25">
      <c r="AA120" s="273"/>
      <c r="AB120" s="271"/>
      <c r="AC120" s="25" t="s">
        <v>115</v>
      </c>
      <c r="AD120" s="166">
        <f>SUM(AD113:AD119)</f>
        <v>0</v>
      </c>
      <c r="AE120" s="271"/>
      <c r="AF120" s="25" t="s">
        <v>115</v>
      </c>
      <c r="AG120" s="166">
        <v>9</v>
      </c>
    </row>
    <row r="121" spans="27:33" ht="15.75" x14ac:dyDescent="0.25">
      <c r="AA121" s="273"/>
      <c r="AB121" s="272"/>
      <c r="AC121" s="29" t="s">
        <v>44</v>
      </c>
      <c r="AD121" s="164" t="e">
        <f>SUM(AD113,AD115,AD116,AD118)/AD120</f>
        <v>#DIV/0!</v>
      </c>
      <c r="AE121" s="272"/>
      <c r="AF121" s="29" t="s">
        <v>44</v>
      </c>
      <c r="AG121" s="164">
        <f>SUM(AG113,AG115,AG116,AG118)/AG120</f>
        <v>0</v>
      </c>
    </row>
  </sheetData>
  <sheetProtection algorithmName="SHA-512" hashValue="2uiZbY53HG7T9PjNWQJl6WHJk/r/k5VsNRE3WtIT5Eqy73qNuLpfUKL+d+6QphM5W2jeT+jgV3q57Ay03S2hQw==" saltValue="Cfby2Iporpq7pejk1CDrFw==" spinCount="100000" sheet="1" objects="1" scenarios="1"/>
  <mergeCells count="44">
    <mergeCell ref="AA113:AA121"/>
    <mergeCell ref="AB113:AB121"/>
    <mergeCell ref="AE113:AE121"/>
    <mergeCell ref="AA103:AA111"/>
    <mergeCell ref="AB103:AB111"/>
    <mergeCell ref="AE103:AE111"/>
    <mergeCell ref="AA93:AA101"/>
    <mergeCell ref="AB93:AB101"/>
    <mergeCell ref="AE93:AE101"/>
    <mergeCell ref="AA83:AA91"/>
    <mergeCell ref="AB83:AB91"/>
    <mergeCell ref="AE83:AE91"/>
    <mergeCell ref="AA73:AA81"/>
    <mergeCell ref="AB73:AB81"/>
    <mergeCell ref="AE73:AE81"/>
    <mergeCell ref="AA63:AA71"/>
    <mergeCell ref="AB63:AB71"/>
    <mergeCell ref="AE63:AE71"/>
    <mergeCell ref="AA53:AA61"/>
    <mergeCell ref="AB53:AB61"/>
    <mergeCell ref="AE53:AE61"/>
    <mergeCell ref="AA43:AA51"/>
    <mergeCell ref="AB43:AB51"/>
    <mergeCell ref="AE43:AE51"/>
    <mergeCell ref="AA33:AA41"/>
    <mergeCell ref="AB33:AB41"/>
    <mergeCell ref="AE33:AE41"/>
    <mergeCell ref="AA23:AA31"/>
    <mergeCell ref="AB23:AB31"/>
    <mergeCell ref="AE23:AE31"/>
    <mergeCell ref="AA13:AA21"/>
    <mergeCell ref="AB13:AB21"/>
    <mergeCell ref="AE13:AE21"/>
    <mergeCell ref="AA3:AA11"/>
    <mergeCell ref="AB3:AB11"/>
    <mergeCell ref="AE3:AE11"/>
    <mergeCell ref="B3:F3"/>
    <mergeCell ref="B4:B5"/>
    <mergeCell ref="C4:D5"/>
    <mergeCell ref="B6:B11"/>
    <mergeCell ref="H3:L3"/>
    <mergeCell ref="H4:H5"/>
    <mergeCell ref="I4:J5"/>
    <mergeCell ref="H6:H11"/>
  </mergeCells>
  <conditionalFormatting sqref="F11">
    <cfRule type="cellIs" dxfId="997" priority="483" operator="lessThan">
      <formula>0</formula>
    </cfRule>
    <cfRule type="cellIs" dxfId="996" priority="484" operator="greaterThan">
      <formula>0</formula>
    </cfRule>
    <cfRule type="cellIs" dxfId="995" priority="485" operator="equal">
      <formula>0</formula>
    </cfRule>
    <cfRule type="cellIs" dxfId="994" priority="486" operator="equal">
      <formula>0</formula>
    </cfRule>
    <cfRule type="cellIs" dxfId="993" priority="487" operator="equal">
      <formula>0</formula>
    </cfRule>
  </conditionalFormatting>
  <conditionalFormatting sqref="L11">
    <cfRule type="cellIs" dxfId="992" priority="475" operator="lessThan">
      <formula>0</formula>
    </cfRule>
    <cfRule type="cellIs" dxfId="991" priority="476" operator="greaterThan">
      <formula>0</formula>
    </cfRule>
    <cfRule type="cellIs" dxfId="990" priority="477" operator="equal">
      <formula>0</formula>
    </cfRule>
    <cfRule type="cellIs" dxfId="989" priority="478" operator="equal">
      <formula>0</formula>
    </cfRule>
    <cfRule type="cellIs" dxfId="988" priority="479" operator="equal">
      <formula>0</formula>
    </cfRule>
  </conditionalFormatting>
  <conditionalFormatting sqref="D11 J11 L11 F11">
    <cfRule type="cellIs" dxfId="987" priority="466" operator="lessThan">
      <formula>0</formula>
    </cfRule>
    <cfRule type="cellIs" dxfId="986" priority="467" operator="greaterThan">
      <formula>0</formula>
    </cfRule>
    <cfRule type="cellIs" dxfId="985" priority="468" operator="equal">
      <formula>0</formula>
    </cfRule>
  </conditionalFormatting>
  <conditionalFormatting sqref="AD11">
    <cfRule type="cellIs" dxfId="984" priority="463" operator="lessThan">
      <formula>0</formula>
    </cfRule>
    <cfRule type="cellIs" dxfId="983" priority="464" operator="greaterThan">
      <formula>0</formula>
    </cfRule>
    <cfRule type="cellIs" dxfId="982" priority="465" operator="equal">
      <formula>0</formula>
    </cfRule>
  </conditionalFormatting>
  <conditionalFormatting sqref="AG121">
    <cfRule type="cellIs" dxfId="981" priority="1" operator="lessThan">
      <formula>0</formula>
    </cfRule>
    <cfRule type="cellIs" dxfId="980" priority="2" operator="greaterThan">
      <formula>0</formula>
    </cfRule>
    <cfRule type="cellIs" dxfId="979" priority="3" operator="equal">
      <formula>0</formula>
    </cfRule>
  </conditionalFormatting>
  <conditionalFormatting sqref="AG11">
    <cfRule type="cellIs" dxfId="978" priority="67" operator="lessThan">
      <formula>0</formula>
    </cfRule>
    <cfRule type="cellIs" dxfId="977" priority="68" operator="greaterThan">
      <formula>0</formula>
    </cfRule>
    <cfRule type="cellIs" dxfId="976" priority="69" operator="equal">
      <formula>0</formula>
    </cfRule>
  </conditionalFormatting>
  <conditionalFormatting sqref="AD21">
    <cfRule type="cellIs" dxfId="975" priority="64" operator="lessThan">
      <formula>0</formula>
    </cfRule>
    <cfRule type="cellIs" dxfId="974" priority="65" operator="greaterThan">
      <formula>0</formula>
    </cfRule>
    <cfRule type="cellIs" dxfId="973" priority="66" operator="equal">
      <formula>0</formula>
    </cfRule>
  </conditionalFormatting>
  <conditionalFormatting sqref="AG21">
    <cfRule type="cellIs" dxfId="972" priority="61" operator="lessThan">
      <formula>0</formula>
    </cfRule>
    <cfRule type="cellIs" dxfId="971" priority="62" operator="greaterThan">
      <formula>0</formula>
    </cfRule>
    <cfRule type="cellIs" dxfId="970" priority="63" operator="equal">
      <formula>0</formula>
    </cfRule>
  </conditionalFormatting>
  <conditionalFormatting sqref="AD31">
    <cfRule type="cellIs" dxfId="969" priority="58" operator="lessThan">
      <formula>0</formula>
    </cfRule>
    <cfRule type="cellIs" dxfId="968" priority="59" operator="greaterThan">
      <formula>0</formula>
    </cfRule>
    <cfRule type="cellIs" dxfId="967" priority="60" operator="equal">
      <formula>0</formula>
    </cfRule>
  </conditionalFormatting>
  <conditionalFormatting sqref="AG31">
    <cfRule type="cellIs" dxfId="966" priority="55" operator="lessThan">
      <formula>0</formula>
    </cfRule>
    <cfRule type="cellIs" dxfId="965" priority="56" operator="greaterThan">
      <formula>0</formula>
    </cfRule>
    <cfRule type="cellIs" dxfId="964" priority="57" operator="equal">
      <formula>0</formula>
    </cfRule>
  </conditionalFormatting>
  <conditionalFormatting sqref="AD41">
    <cfRule type="cellIs" dxfId="963" priority="52" operator="lessThan">
      <formula>0</formula>
    </cfRule>
    <cfRule type="cellIs" dxfId="962" priority="53" operator="greaterThan">
      <formula>0</formula>
    </cfRule>
    <cfRule type="cellIs" dxfId="961" priority="54" operator="equal">
      <formula>0</formula>
    </cfRule>
  </conditionalFormatting>
  <conditionalFormatting sqref="AG41">
    <cfRule type="cellIs" dxfId="960" priority="49" operator="lessThan">
      <formula>0</formula>
    </cfRule>
    <cfRule type="cellIs" dxfId="959" priority="50" operator="greaterThan">
      <formula>0</formula>
    </cfRule>
    <cfRule type="cellIs" dxfId="958" priority="51" operator="equal">
      <formula>0</formula>
    </cfRule>
  </conditionalFormatting>
  <conditionalFormatting sqref="AD51">
    <cfRule type="cellIs" dxfId="957" priority="46" operator="lessThan">
      <formula>0</formula>
    </cfRule>
    <cfRule type="cellIs" dxfId="956" priority="47" operator="greaterThan">
      <formula>0</formula>
    </cfRule>
    <cfRule type="cellIs" dxfId="955" priority="48" operator="equal">
      <formula>0</formula>
    </cfRule>
  </conditionalFormatting>
  <conditionalFormatting sqref="AG51">
    <cfRule type="cellIs" dxfId="954" priority="43" operator="lessThan">
      <formula>0</formula>
    </cfRule>
    <cfRule type="cellIs" dxfId="953" priority="44" operator="greaterThan">
      <formula>0</formula>
    </cfRule>
    <cfRule type="cellIs" dxfId="952" priority="45" operator="equal">
      <formula>0</formula>
    </cfRule>
  </conditionalFormatting>
  <conditionalFormatting sqref="AD61">
    <cfRule type="cellIs" dxfId="951" priority="40" operator="lessThan">
      <formula>0</formula>
    </cfRule>
    <cfRule type="cellIs" dxfId="950" priority="41" operator="greaterThan">
      <formula>0</formula>
    </cfRule>
    <cfRule type="cellIs" dxfId="949" priority="42" operator="equal">
      <formula>0</formula>
    </cfRule>
  </conditionalFormatting>
  <conditionalFormatting sqref="AG61">
    <cfRule type="cellIs" dxfId="948" priority="37" operator="lessThan">
      <formula>0</formula>
    </cfRule>
    <cfRule type="cellIs" dxfId="947" priority="38" operator="greaterThan">
      <formula>0</formula>
    </cfRule>
    <cfRule type="cellIs" dxfId="946" priority="39" operator="equal">
      <formula>0</formula>
    </cfRule>
  </conditionalFormatting>
  <conditionalFormatting sqref="AD71">
    <cfRule type="cellIs" dxfId="945" priority="34" operator="lessThan">
      <formula>0</formula>
    </cfRule>
    <cfRule type="cellIs" dxfId="944" priority="35" operator="greaterThan">
      <formula>0</formula>
    </cfRule>
    <cfRule type="cellIs" dxfId="943" priority="36" operator="equal">
      <formula>0</formula>
    </cfRule>
  </conditionalFormatting>
  <conditionalFormatting sqref="AG71">
    <cfRule type="cellIs" dxfId="942" priority="31" operator="lessThan">
      <formula>0</formula>
    </cfRule>
    <cfRule type="cellIs" dxfId="941" priority="32" operator="greaterThan">
      <formula>0</formula>
    </cfRule>
    <cfRule type="cellIs" dxfId="940" priority="33" operator="equal">
      <formula>0</formula>
    </cfRule>
  </conditionalFormatting>
  <conditionalFormatting sqref="AD81">
    <cfRule type="cellIs" dxfId="939" priority="28" operator="lessThan">
      <formula>0</formula>
    </cfRule>
    <cfRule type="cellIs" dxfId="938" priority="29" operator="greaterThan">
      <formula>0</formula>
    </cfRule>
    <cfRule type="cellIs" dxfId="937" priority="30" operator="equal">
      <formula>0</formula>
    </cfRule>
  </conditionalFormatting>
  <conditionalFormatting sqref="AG81">
    <cfRule type="cellIs" dxfId="936" priority="25" operator="lessThan">
      <formula>0</formula>
    </cfRule>
    <cfRule type="cellIs" dxfId="935" priority="26" operator="greaterThan">
      <formula>0</formula>
    </cfRule>
    <cfRule type="cellIs" dxfId="934" priority="27" operator="equal">
      <formula>0</formula>
    </cfRule>
  </conditionalFormatting>
  <conditionalFormatting sqref="AD91">
    <cfRule type="cellIs" dxfId="933" priority="22" operator="lessThan">
      <formula>0</formula>
    </cfRule>
    <cfRule type="cellIs" dxfId="932" priority="23" operator="greaterThan">
      <formula>0</formula>
    </cfRule>
    <cfRule type="cellIs" dxfId="931" priority="24" operator="equal">
      <formula>0</formula>
    </cfRule>
  </conditionalFormatting>
  <conditionalFormatting sqref="AG91">
    <cfRule type="cellIs" dxfId="930" priority="19" operator="lessThan">
      <formula>0</formula>
    </cfRule>
    <cfRule type="cellIs" dxfId="929" priority="20" operator="greaterThan">
      <formula>0</formula>
    </cfRule>
    <cfRule type="cellIs" dxfId="928" priority="21" operator="equal">
      <formula>0</formula>
    </cfRule>
  </conditionalFormatting>
  <conditionalFormatting sqref="AD101">
    <cfRule type="cellIs" dxfId="927" priority="16" operator="lessThan">
      <formula>0</formula>
    </cfRule>
    <cfRule type="cellIs" dxfId="926" priority="17" operator="greaterThan">
      <formula>0</formula>
    </cfRule>
    <cfRule type="cellIs" dxfId="925" priority="18" operator="equal">
      <formula>0</formula>
    </cfRule>
  </conditionalFormatting>
  <conditionalFormatting sqref="AG101">
    <cfRule type="cellIs" dxfId="924" priority="13" operator="lessThan">
      <formula>0</formula>
    </cfRule>
    <cfRule type="cellIs" dxfId="923" priority="14" operator="greaterThan">
      <formula>0</formula>
    </cfRule>
    <cfRule type="cellIs" dxfId="922" priority="15" operator="equal">
      <formula>0</formula>
    </cfRule>
  </conditionalFormatting>
  <conditionalFormatting sqref="AD111">
    <cfRule type="cellIs" dxfId="921" priority="10" operator="lessThan">
      <formula>0</formula>
    </cfRule>
    <cfRule type="cellIs" dxfId="920" priority="11" operator="greaterThan">
      <formula>0</formula>
    </cfRule>
    <cfRule type="cellIs" dxfId="919" priority="12" operator="equal">
      <formula>0</formula>
    </cfRule>
  </conditionalFormatting>
  <conditionalFormatting sqref="AG111">
    <cfRule type="cellIs" dxfId="918" priority="7" operator="lessThan">
      <formula>0</formula>
    </cfRule>
    <cfRule type="cellIs" dxfId="917" priority="8" operator="greaterThan">
      <formula>0</formula>
    </cfRule>
    <cfRule type="cellIs" dxfId="916" priority="9" operator="equal">
      <formula>0</formula>
    </cfRule>
  </conditionalFormatting>
  <conditionalFormatting sqref="AD121">
    <cfRule type="cellIs" dxfId="915" priority="4" operator="lessThan">
      <formula>0</formula>
    </cfRule>
    <cfRule type="cellIs" dxfId="914" priority="5" operator="greaterThan">
      <formula>0</formula>
    </cfRule>
    <cfRule type="cellIs" dxfId="913" priority="6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H121"/>
  <sheetViews>
    <sheetView topLeftCell="AA1" zoomScaleNormal="100" workbookViewId="0">
      <selection activeCell="BC19" sqref="BC19"/>
    </sheetView>
  </sheetViews>
  <sheetFormatPr defaultRowHeight="15" x14ac:dyDescent="0.25"/>
  <cols>
    <col min="2" max="2" width="16" customWidth="1"/>
    <col min="3" max="3" width="11.5703125" customWidth="1"/>
    <col min="4" max="4" width="7.7109375" customWidth="1"/>
    <col min="5" max="5" width="9.7109375" customWidth="1"/>
    <col min="6" max="6" width="9" customWidth="1"/>
    <col min="8" max="8" width="15.5703125" customWidth="1"/>
    <col min="9" max="9" width="12" customWidth="1"/>
    <col min="10" max="10" width="7.28515625" customWidth="1"/>
    <col min="11" max="11" width="9.85546875" customWidth="1"/>
    <col min="12" max="12" width="8.7109375" customWidth="1"/>
    <col min="14" max="14" width="15.5703125" customWidth="1"/>
    <col min="15" max="15" width="11.42578125" customWidth="1"/>
    <col min="16" max="16" width="7.140625" customWidth="1"/>
    <col min="17" max="17" width="10" customWidth="1"/>
    <col min="18" max="18" width="9" customWidth="1"/>
    <col min="20" max="20" width="15.42578125" customWidth="1"/>
    <col min="21" max="21" width="11.5703125" customWidth="1"/>
    <col min="22" max="22" width="9.7109375" customWidth="1"/>
    <col min="23" max="23" width="9.85546875" customWidth="1"/>
    <col min="24" max="24" width="8.42578125" customWidth="1"/>
    <col min="26" max="26" width="15.140625" customWidth="1"/>
    <col min="27" max="27" width="11.7109375" customWidth="1"/>
    <col min="28" max="28" width="8.140625" customWidth="1"/>
    <col min="29" max="29" width="10" customWidth="1"/>
    <col min="30" max="30" width="9.85546875" customWidth="1"/>
    <col min="32" max="32" width="14.28515625" customWidth="1"/>
    <col min="33" max="33" width="13.7109375" bestFit="1" customWidth="1"/>
    <col min="34" max="34" width="14.140625" customWidth="1"/>
    <col min="35" max="35" width="8" customWidth="1"/>
    <col min="36" max="36" width="13.85546875" customWidth="1"/>
    <col min="37" max="37" width="7.7109375" customWidth="1"/>
    <col min="38" max="38" width="6.85546875" customWidth="1"/>
    <col min="39" max="39" width="7.5703125" customWidth="1"/>
    <col min="40" max="40" width="8" customWidth="1"/>
    <col min="41" max="41" width="8.140625" customWidth="1"/>
    <col min="42" max="42" width="10" customWidth="1"/>
    <col min="43" max="43" width="9.5703125" customWidth="1"/>
    <col min="44" max="44" width="11.85546875" customWidth="1"/>
    <col min="45" max="45" width="5.42578125" customWidth="1"/>
    <col min="46" max="46" width="5.7109375" customWidth="1"/>
    <col min="47" max="47" width="9.7109375" customWidth="1"/>
    <col min="48" max="48" width="9.5703125" customWidth="1"/>
    <col min="49" max="49" width="5.7109375" customWidth="1"/>
    <col min="50" max="50" width="9.42578125" customWidth="1"/>
    <col min="52" max="52" width="6.5703125" customWidth="1"/>
    <col min="53" max="53" width="10.140625" customWidth="1"/>
    <col min="55" max="55" width="5.7109375" customWidth="1"/>
    <col min="56" max="56" width="9.7109375" customWidth="1"/>
    <col min="58" max="58" width="5.7109375" customWidth="1"/>
    <col min="59" max="59" width="9.5703125" customWidth="1"/>
  </cols>
  <sheetData>
    <row r="3" spans="2:60" ht="19.5" customHeight="1" x14ac:dyDescent="0.25">
      <c r="B3" s="280" t="s">
        <v>50</v>
      </c>
      <c r="C3" s="281"/>
      <c r="D3" s="281"/>
      <c r="E3" s="281"/>
      <c r="F3" s="282"/>
      <c r="H3" s="280" t="s">
        <v>51</v>
      </c>
      <c r="I3" s="281"/>
      <c r="J3" s="281"/>
      <c r="K3" s="281"/>
      <c r="L3" s="282"/>
      <c r="N3" s="280" t="s">
        <v>52</v>
      </c>
      <c r="O3" s="281"/>
      <c r="P3" s="281"/>
      <c r="Q3" s="281"/>
      <c r="R3" s="282"/>
      <c r="T3" s="280" t="s">
        <v>53</v>
      </c>
      <c r="U3" s="281"/>
      <c r="V3" s="281"/>
      <c r="W3" s="281"/>
      <c r="X3" s="282"/>
      <c r="Z3" s="280" t="s">
        <v>54</v>
      </c>
      <c r="AA3" s="281"/>
      <c r="AB3" s="281"/>
      <c r="AC3" s="281"/>
      <c r="AD3" s="282"/>
      <c r="AF3" s="108" t="s">
        <v>55</v>
      </c>
      <c r="AG3" s="109" t="s">
        <v>48</v>
      </c>
      <c r="AH3" s="109" t="s">
        <v>168</v>
      </c>
      <c r="AJ3" s="127" t="s">
        <v>55</v>
      </c>
      <c r="AK3" s="107" t="s">
        <v>27</v>
      </c>
      <c r="AL3" s="107" t="s">
        <v>29</v>
      </c>
      <c r="AM3" s="107" t="s">
        <v>32</v>
      </c>
      <c r="AN3" s="107" t="s">
        <v>30</v>
      </c>
      <c r="AO3" s="107" t="s">
        <v>31</v>
      </c>
      <c r="AP3" s="107" t="s">
        <v>33</v>
      </c>
      <c r="AQ3" s="107" t="s">
        <v>34</v>
      </c>
      <c r="AS3" s="273" t="s">
        <v>68</v>
      </c>
      <c r="AT3" s="270" t="s">
        <v>50</v>
      </c>
      <c r="AU3" s="54" t="s">
        <v>27</v>
      </c>
      <c r="AV3" s="166">
        <f>COUNTIFS(JOURNAL!F:F,"1",JOURNAL!D:D,"MONDAY",JOURNAL!O:O,"TP")</f>
        <v>0</v>
      </c>
      <c r="AW3" s="270" t="s">
        <v>51</v>
      </c>
      <c r="AX3" s="54" t="s">
        <v>27</v>
      </c>
      <c r="AY3" s="166">
        <f>COUNTIFS(JOURNAL!F:F,"1",JOURNAL!D:D,"TUESDAY",JOURNAL!O:O,"TP")</f>
        <v>0</v>
      </c>
      <c r="AZ3" s="270" t="s">
        <v>52</v>
      </c>
      <c r="BA3" s="54" t="s">
        <v>27</v>
      </c>
      <c r="BB3" s="166">
        <f>COUNTIFS(JOURNAL!F:F,"1",JOURNAL!D:D,"WEDNESDAY",JOURNAL!O:O,"TP")</f>
        <v>0</v>
      </c>
      <c r="BC3" s="270" t="s">
        <v>53</v>
      </c>
      <c r="BD3" s="54" t="s">
        <v>27</v>
      </c>
      <c r="BE3" s="166">
        <f>COUNTIFS(JOURNAL!F:F,"1",JOURNAL!D:D,"THURSDAY",JOURNAL!O:O,"TP")</f>
        <v>0</v>
      </c>
      <c r="BF3" s="270" t="s">
        <v>54</v>
      </c>
      <c r="BG3" s="54" t="s">
        <v>27</v>
      </c>
      <c r="BH3" s="166">
        <f>COUNTIFS(JOURNAL!F:F,"1",JOURNAL!D:D,"FRIDAY",JOURNAL!O:O,"TP")</f>
        <v>0</v>
      </c>
    </row>
    <row r="4" spans="2:60" ht="18" customHeight="1" x14ac:dyDescent="0.25">
      <c r="B4" s="283" t="s">
        <v>43</v>
      </c>
      <c r="C4" s="262">
        <f>COUNTIF(JOURNAL!D:D,"MONDAY")</f>
        <v>0</v>
      </c>
      <c r="D4" s="263"/>
      <c r="E4" s="40" t="s">
        <v>27</v>
      </c>
      <c r="F4" s="48">
        <f>COUNTIFS(JOURNAL!D:D,"MONDAY",JOURNAL!O:O,"TP")</f>
        <v>0</v>
      </c>
      <c r="H4" s="283" t="s">
        <v>43</v>
      </c>
      <c r="I4" s="262">
        <f>COUNTIF(JOURNAL!D:D,"TUESDAY")</f>
        <v>0</v>
      </c>
      <c r="J4" s="263"/>
      <c r="K4" s="40" t="s">
        <v>27</v>
      </c>
      <c r="L4" s="48">
        <f>COUNTIFS(JOURNAL!D:D,"TUESDAY",JOURNAL!O:O,"TP")</f>
        <v>0</v>
      </c>
      <c r="N4" s="283" t="s">
        <v>43</v>
      </c>
      <c r="O4" s="262">
        <f>COUNTIF(JOURNAL!D:D,"WEDNESDAY")</f>
        <v>0</v>
      </c>
      <c r="P4" s="263"/>
      <c r="Q4" s="40" t="s">
        <v>27</v>
      </c>
      <c r="R4" s="48">
        <f>COUNTIFS(JOURNAL!D:D,"WEDNESDAY",JOURNAL!O:O,"TP")</f>
        <v>0</v>
      </c>
      <c r="T4" s="283" t="s">
        <v>43</v>
      </c>
      <c r="U4" s="286">
        <f>COUNTIF(JOURNAL!D:D,"THURSDAY")</f>
        <v>0</v>
      </c>
      <c r="V4" s="287"/>
      <c r="W4" s="40" t="s">
        <v>27</v>
      </c>
      <c r="X4" s="48">
        <f>COUNTIFS(JOURNAL!D:D,"THURSDAY",JOURNAL!O:O,"TP")</f>
        <v>0</v>
      </c>
      <c r="Z4" s="283" t="s">
        <v>43</v>
      </c>
      <c r="AA4" s="286">
        <f>COUNTIF(JOURNAL!D:D,"FRIDAY")</f>
        <v>0</v>
      </c>
      <c r="AB4" s="287"/>
      <c r="AC4" s="40" t="s">
        <v>27</v>
      </c>
      <c r="AD4" s="48">
        <f>COUNTIFS(JOURNAL!D:D,"FRIDAY",JOURNAL!O:O,"TP")</f>
        <v>0</v>
      </c>
      <c r="AF4" s="110" t="s">
        <v>50</v>
      </c>
      <c r="AG4" s="86">
        <f>D11</f>
        <v>0</v>
      </c>
      <c r="AH4" s="80">
        <f>SMALL(AG4:AG8,5)</f>
        <v>0</v>
      </c>
      <c r="AJ4" s="74" t="s">
        <v>50</v>
      </c>
      <c r="AK4" s="75">
        <f>F4</f>
        <v>0</v>
      </c>
      <c r="AL4" s="75">
        <f>F5</f>
        <v>0</v>
      </c>
      <c r="AM4" s="75">
        <f>F6</f>
        <v>0</v>
      </c>
      <c r="AN4" s="75">
        <f>F7</f>
        <v>0</v>
      </c>
      <c r="AO4" s="75">
        <f>F8</f>
        <v>0</v>
      </c>
      <c r="AP4" s="75">
        <f>F9</f>
        <v>0</v>
      </c>
      <c r="AQ4" s="75">
        <f>F10</f>
        <v>0</v>
      </c>
      <c r="AS4" s="273"/>
      <c r="AT4" s="271"/>
      <c r="AU4" s="55" t="s">
        <v>29</v>
      </c>
      <c r="AV4" s="166">
        <f>COUNTIFS(JOURNAL!F:F,"1",JOURNAL!D:D,"MONDAY",JOURNAL!O:O,"SL")</f>
        <v>0</v>
      </c>
      <c r="AW4" s="271"/>
      <c r="AX4" s="55" t="s">
        <v>29</v>
      </c>
      <c r="AY4" s="166">
        <f>COUNTIFS(JOURNAL!F:F,"1",JOURNAL!D:D,"TUESDAY",JOURNAL!O:O,"SL")</f>
        <v>0</v>
      </c>
      <c r="AZ4" s="271"/>
      <c r="BA4" s="55" t="s">
        <v>29</v>
      </c>
      <c r="BB4" s="166">
        <f>COUNTIFS(JOURNAL!F:F,"1",JOURNAL!D:D,"WEDNESDAY",JOURNAL!O:O,"SL")</f>
        <v>0</v>
      </c>
      <c r="BC4" s="271"/>
      <c r="BD4" s="55" t="s">
        <v>29</v>
      </c>
      <c r="BE4" s="166">
        <f>COUNTIFS(JOURNAL!F:F,"1",JOURNAL!D:D,"THURSDAY",JOURNAL!O:O,"SL")</f>
        <v>0</v>
      </c>
      <c r="BF4" s="271"/>
      <c r="BG4" s="55" t="s">
        <v>29</v>
      </c>
      <c r="BH4" s="166">
        <f>COUNTIFS(JOURNAL!F:F,"1",JOURNAL!D:D,"FRIDAY",JOURNAL!O:O,"SL")</f>
        <v>0</v>
      </c>
    </row>
    <row r="5" spans="2:60" ht="20.25" customHeight="1" x14ac:dyDescent="0.25">
      <c r="B5" s="284"/>
      <c r="C5" s="264"/>
      <c r="D5" s="265"/>
      <c r="E5" s="31" t="s">
        <v>29</v>
      </c>
      <c r="F5" s="48">
        <f>COUNTIFS(JOURNAL!D:D,"MONDAY",JOURNAL!O:O,"SL")</f>
        <v>0</v>
      </c>
      <c r="H5" s="284"/>
      <c r="I5" s="264"/>
      <c r="J5" s="265"/>
      <c r="K5" s="31" t="s">
        <v>29</v>
      </c>
      <c r="L5" s="48">
        <f>COUNTIFS(JOURNAL!D:D,"TUESDAY",JOURNAL!O:O,"SL")</f>
        <v>0</v>
      </c>
      <c r="N5" s="284"/>
      <c r="O5" s="264"/>
      <c r="P5" s="265"/>
      <c r="Q5" s="31" t="s">
        <v>29</v>
      </c>
      <c r="R5" s="48">
        <f>COUNTIFS(JOURNAL!D:D,"WEDNESDAY",JOURNAL!O:O,"SL")</f>
        <v>0</v>
      </c>
      <c r="T5" s="284"/>
      <c r="U5" s="288"/>
      <c r="V5" s="289"/>
      <c r="W5" s="31" t="s">
        <v>29</v>
      </c>
      <c r="X5" s="48">
        <f>COUNTIFS(JOURNAL!D:D,"THURSDAY",JOURNAL!O:O,"SL")</f>
        <v>0</v>
      </c>
      <c r="Z5" s="284"/>
      <c r="AA5" s="288"/>
      <c r="AB5" s="289"/>
      <c r="AC5" s="31" t="s">
        <v>29</v>
      </c>
      <c r="AD5" s="48">
        <f>COUNTIFS(JOURNAL!D:D,"FRIDAY",JOURNAL!O:O,"SL")</f>
        <v>0</v>
      </c>
      <c r="AF5" s="110" t="s">
        <v>51</v>
      </c>
      <c r="AG5" s="86">
        <f>J11</f>
        <v>0</v>
      </c>
      <c r="AH5" s="81">
        <f>SMALL(AG4:AG8,4)</f>
        <v>0</v>
      </c>
      <c r="AJ5" s="74" t="s">
        <v>51</v>
      </c>
      <c r="AK5" s="48">
        <f>L4</f>
        <v>0</v>
      </c>
      <c r="AL5" s="48">
        <f>L5</f>
        <v>0</v>
      </c>
      <c r="AM5" s="48">
        <f>L6</f>
        <v>0</v>
      </c>
      <c r="AN5" s="48">
        <f>L7</f>
        <v>0</v>
      </c>
      <c r="AO5" s="48">
        <f>L8</f>
        <v>0</v>
      </c>
      <c r="AP5" s="48">
        <f>L9</f>
        <v>0</v>
      </c>
      <c r="AQ5" s="48">
        <f>L10</f>
        <v>0</v>
      </c>
      <c r="AS5" s="273"/>
      <c r="AT5" s="271"/>
      <c r="AU5" s="56" t="s">
        <v>32</v>
      </c>
      <c r="AV5" s="166">
        <f>COUNTIFS(JOURNAL!F:F,"1",JOURNAL!D:D,"MONDAY",JOURNAL!O:O,"RF")</f>
        <v>0</v>
      </c>
      <c r="AW5" s="271"/>
      <c r="AX5" s="56" t="s">
        <v>32</v>
      </c>
      <c r="AY5" s="166">
        <f>COUNTIFS(JOURNAL!F:F,"1",JOURNAL!D:D,"TUESDAY",JOURNAL!O:O,"RF")</f>
        <v>0</v>
      </c>
      <c r="AZ5" s="271"/>
      <c r="BA5" s="56" t="s">
        <v>32</v>
      </c>
      <c r="BB5" s="166">
        <f>COUNTIFS(JOURNAL!F:F,"1",JOURNAL!D:D,"WEDNESDAY",JOURNAL!O:O,"RF")</f>
        <v>0</v>
      </c>
      <c r="BC5" s="271"/>
      <c r="BD5" s="56" t="s">
        <v>32</v>
      </c>
      <c r="BE5" s="166">
        <f>COUNTIFS(JOURNAL!F:F,"1",JOURNAL!D:D,"THURSDAY",JOURNAL!O:O,"RF")</f>
        <v>0</v>
      </c>
      <c r="BF5" s="271"/>
      <c r="BG5" s="56" t="s">
        <v>32</v>
      </c>
      <c r="BH5" s="166">
        <f>COUNTIFS(JOURNAL!F:F,"1",JOURNAL!D:D,"FRIDAY",JOURNAL!O:O,"RF")</f>
        <v>0</v>
      </c>
    </row>
    <row r="6" spans="2:60" ht="19.5" customHeight="1" x14ac:dyDescent="0.25">
      <c r="B6" s="283" t="s">
        <v>45</v>
      </c>
      <c r="C6" s="34" t="s">
        <v>36</v>
      </c>
      <c r="D6" s="48">
        <f>COUNTIFS(JOURNAL!D:D,"MONDAY",JOURNAL!P:P,"SF")</f>
        <v>0</v>
      </c>
      <c r="E6" s="41" t="s">
        <v>32</v>
      </c>
      <c r="F6" s="48">
        <f>COUNTIFS(JOURNAL!D:D,"MONDAY",JOURNAL!O:O,"RF")</f>
        <v>0</v>
      </c>
      <c r="H6" s="283" t="s">
        <v>45</v>
      </c>
      <c r="I6" s="34" t="s">
        <v>36</v>
      </c>
      <c r="J6" s="48">
        <f>COUNTIFS(JOURNAL!D:D,"TUESDAY",JOURNAL!P:P,"SF")</f>
        <v>0</v>
      </c>
      <c r="K6" s="41" t="s">
        <v>32</v>
      </c>
      <c r="L6" s="48">
        <f>COUNTIFS(JOURNAL!D:D,"TUESDAY",JOURNAL!O:O,"RF")</f>
        <v>0</v>
      </c>
      <c r="N6" s="283" t="s">
        <v>45</v>
      </c>
      <c r="O6" s="34" t="s">
        <v>36</v>
      </c>
      <c r="P6" s="48">
        <f>COUNTIFS(JOURNAL!D:D,"WEDNESDAY",JOURNAL!P:P,"SF")</f>
        <v>0</v>
      </c>
      <c r="Q6" s="41" t="s">
        <v>32</v>
      </c>
      <c r="R6" s="48">
        <f>COUNTIFS(JOURNAL!D:D,"WEDNESDAY",JOURNAL!O:O,"RF")</f>
        <v>0</v>
      </c>
      <c r="T6" s="283" t="s">
        <v>45</v>
      </c>
      <c r="U6" s="34" t="s">
        <v>36</v>
      </c>
      <c r="V6" s="48">
        <f>COUNTIFS(JOURNAL!D:D,"THURSDAY",JOURNAL!P:P,"SF")</f>
        <v>0</v>
      </c>
      <c r="W6" s="41" t="s">
        <v>32</v>
      </c>
      <c r="X6" s="48">
        <f>COUNTIFS(JOURNAL!D:D,"THURSDAY",JOURNAL!O:O,"RF")</f>
        <v>0</v>
      </c>
      <c r="Z6" s="283" t="s">
        <v>45</v>
      </c>
      <c r="AA6" s="34" t="s">
        <v>36</v>
      </c>
      <c r="AB6" s="48">
        <f>COUNTIFS(JOURNAL!D:D,"FRIDAY",JOURNAL!P:P,"SF")</f>
        <v>0</v>
      </c>
      <c r="AC6" s="41" t="s">
        <v>32</v>
      </c>
      <c r="AD6" s="48">
        <f>COUNTIFS(JOURNAL!D:D,"FRIDAY",JOURNAL!O:O,"RF")</f>
        <v>0</v>
      </c>
      <c r="AF6" s="110" t="s">
        <v>52</v>
      </c>
      <c r="AG6" s="86">
        <f>P11</f>
        <v>0</v>
      </c>
      <c r="AH6" s="82">
        <f>SMALL(AG4:AG8,3)</f>
        <v>0</v>
      </c>
      <c r="AJ6" s="74" t="s">
        <v>52</v>
      </c>
      <c r="AK6" s="75">
        <f>R4</f>
        <v>0</v>
      </c>
      <c r="AL6" s="75">
        <f>R5</f>
        <v>0</v>
      </c>
      <c r="AM6" s="75">
        <f>R6</f>
        <v>0</v>
      </c>
      <c r="AN6" s="75">
        <f>R7</f>
        <v>0</v>
      </c>
      <c r="AO6" s="75">
        <f>R8</f>
        <v>0</v>
      </c>
      <c r="AP6" s="75">
        <f>R9</f>
        <v>0</v>
      </c>
      <c r="AQ6" s="75">
        <f>R10</f>
        <v>0</v>
      </c>
      <c r="AS6" s="273"/>
      <c r="AT6" s="271"/>
      <c r="AU6" s="57" t="s">
        <v>30</v>
      </c>
      <c r="AV6" s="166">
        <f>COUNTIFS(JOURNAL!F:F,"1",JOURNAL!D:D,"MONDAY",JOURNAL!O:O,"PS")</f>
        <v>0</v>
      </c>
      <c r="AW6" s="271"/>
      <c r="AX6" s="57" t="s">
        <v>30</v>
      </c>
      <c r="AY6" s="166">
        <f>COUNTIFS(JOURNAL!F:F,"1",JOURNAL!D:D,"TUESDAY",JOURNAL!O:O,"PS")</f>
        <v>0</v>
      </c>
      <c r="AZ6" s="271"/>
      <c r="BA6" s="57" t="s">
        <v>30</v>
      </c>
      <c r="BB6" s="166">
        <f>COUNTIFS(JOURNAL!F:F,"1",JOURNAL!D:D,"WEDNESDAY",JOURNAL!O:O,"PS")</f>
        <v>0</v>
      </c>
      <c r="BC6" s="271"/>
      <c r="BD6" s="57" t="s">
        <v>30</v>
      </c>
      <c r="BE6" s="166">
        <f>COUNTIFS(JOURNAL!F:F,"1",JOURNAL!D:D,"THURSDAY",JOURNAL!O:O,"PS")</f>
        <v>0</v>
      </c>
      <c r="BF6" s="271"/>
      <c r="BG6" s="57" t="s">
        <v>30</v>
      </c>
      <c r="BH6" s="166">
        <f>COUNTIFS(JOURNAL!F:F,"1",JOURNAL!D:D,"FRIDAY",JOURNAL!O:O,"PS")</f>
        <v>0</v>
      </c>
    </row>
    <row r="7" spans="2:60" ht="19.5" customHeight="1" x14ac:dyDescent="0.25">
      <c r="B7" s="285"/>
      <c r="C7" s="45" t="s">
        <v>28</v>
      </c>
      <c r="D7" s="48">
        <f>COUNTIFS(JOURNAL!D:D,"MONDAY",JOURNAL!P:P,"TC")</f>
        <v>0</v>
      </c>
      <c r="E7" s="32" t="s">
        <v>30</v>
      </c>
      <c r="F7" s="48">
        <f>COUNTIFS(JOURNAL!D:D,"MONDAY",JOURNAL!O:O,"PS")</f>
        <v>0</v>
      </c>
      <c r="H7" s="285"/>
      <c r="I7" s="45" t="s">
        <v>28</v>
      </c>
      <c r="J7" s="48">
        <f>COUNTIFS(JOURNAL!D:D,"TUESDAY",JOURNAL!P:P,"TC")</f>
        <v>0</v>
      </c>
      <c r="K7" s="32" t="s">
        <v>30</v>
      </c>
      <c r="L7" s="48">
        <f>COUNTIFS(JOURNAL!D:D,"TUESDAY",JOURNAL!O:O,"PS")</f>
        <v>0</v>
      </c>
      <c r="N7" s="285"/>
      <c r="O7" s="45" t="s">
        <v>28</v>
      </c>
      <c r="P7" s="48">
        <f>COUNTIFS(JOURNAL!D:D,"WEDNESDAY",JOURNAL!P:P,"TC")</f>
        <v>0</v>
      </c>
      <c r="Q7" s="32" t="s">
        <v>30</v>
      </c>
      <c r="R7" s="48">
        <f>COUNTIFS(JOURNAL!D:D,"WEDNESDAY",JOURNAL!O:O,"PS")</f>
        <v>0</v>
      </c>
      <c r="T7" s="285"/>
      <c r="U7" s="45" t="s">
        <v>28</v>
      </c>
      <c r="V7" s="48">
        <f>COUNTIFS(JOURNAL!D:D,"THURSDAY",JOURNAL!P:P,"TC")</f>
        <v>0</v>
      </c>
      <c r="W7" s="32" t="s">
        <v>30</v>
      </c>
      <c r="X7" s="48">
        <f>COUNTIFS(JOURNAL!D:D,"THURSDAY",JOURNAL!O:O,"PS")</f>
        <v>0</v>
      </c>
      <c r="Z7" s="285"/>
      <c r="AA7" s="45" t="s">
        <v>28</v>
      </c>
      <c r="AB7" s="48">
        <f>COUNTIFS(JOURNAL!D:D,"FRIDAY",JOURNAL!P:P,"TC")</f>
        <v>0</v>
      </c>
      <c r="AC7" s="32" t="s">
        <v>30</v>
      </c>
      <c r="AD7" s="48">
        <f>COUNTIFS(JOURNAL!D:D,"FRIDAY",JOURNAL!O:O,"PS")</f>
        <v>0</v>
      </c>
      <c r="AF7" s="110" t="s">
        <v>53</v>
      </c>
      <c r="AG7" s="86">
        <f>V11</f>
        <v>0</v>
      </c>
      <c r="AH7" s="83">
        <f>SMALL(AG4:AG8,2)</f>
        <v>0</v>
      </c>
      <c r="AJ7" s="74" t="s">
        <v>53</v>
      </c>
      <c r="AK7" s="48">
        <f>X4</f>
        <v>0</v>
      </c>
      <c r="AL7" s="48">
        <f>X5</f>
        <v>0</v>
      </c>
      <c r="AM7" s="48">
        <f>X6</f>
        <v>0</v>
      </c>
      <c r="AN7" s="48">
        <f>X7</f>
        <v>0</v>
      </c>
      <c r="AO7" s="48">
        <f>X8</f>
        <v>0</v>
      </c>
      <c r="AP7" s="48">
        <f>X9</f>
        <v>0</v>
      </c>
      <c r="AQ7" s="48">
        <f>X10</f>
        <v>0</v>
      </c>
      <c r="AS7" s="273"/>
      <c r="AT7" s="271"/>
      <c r="AU7" s="58" t="s">
        <v>31</v>
      </c>
      <c r="AV7" s="166">
        <f>COUNTIFS(JOURNAL!F:F,"1",JOURNAL!D:D,"MONDAY",JOURNAL!O:O,"LS")</f>
        <v>0</v>
      </c>
      <c r="AW7" s="271"/>
      <c r="AX7" s="58" t="s">
        <v>31</v>
      </c>
      <c r="AY7" s="166">
        <f>COUNTIFS(JOURNAL!F:F,"1",JOURNAL!D:D,"TUESDAY",JOURNAL!O:O,"LS")</f>
        <v>0</v>
      </c>
      <c r="AZ7" s="271"/>
      <c r="BA7" s="58" t="s">
        <v>31</v>
      </c>
      <c r="BB7" s="166">
        <f>COUNTIFS(JOURNAL!F:F,"1",JOURNAL!D:D,"WEDNESDAY",JOURNAL!O:O,"LS")</f>
        <v>0</v>
      </c>
      <c r="BC7" s="271"/>
      <c r="BD7" s="58" t="s">
        <v>31</v>
      </c>
      <c r="BE7" s="166">
        <f>COUNTIFS(JOURNAL!F:F,"1",JOURNAL!D:D,"THURSDAY",JOURNAL!O:O,"LS")</f>
        <v>0</v>
      </c>
      <c r="BF7" s="271"/>
      <c r="BG7" s="58" t="s">
        <v>31</v>
      </c>
      <c r="BH7" s="166">
        <f>COUNTIFS(JOURNAL!F:F,"1",JOURNAL!D:D,"FRIDAY",JOURNAL!O:O,"LS")</f>
        <v>0</v>
      </c>
    </row>
    <row r="8" spans="2:60" ht="18.75" customHeight="1" x14ac:dyDescent="0.25">
      <c r="B8" s="285"/>
      <c r="C8" s="46" t="s">
        <v>37</v>
      </c>
      <c r="D8" s="48">
        <f>COUNTIFS(JOURNAL!D:D,"MONDAY",JOURNAL!P:P,"DC")</f>
        <v>0</v>
      </c>
      <c r="E8" s="42" t="s">
        <v>31</v>
      </c>
      <c r="F8" s="48">
        <f>COUNTIFS(JOURNAL!D:D,"MONDAY",JOURNAL!O:O,"LS")</f>
        <v>0</v>
      </c>
      <c r="H8" s="285"/>
      <c r="I8" s="46" t="s">
        <v>37</v>
      </c>
      <c r="J8" s="48">
        <f>COUNTIFS(JOURNAL!D:D,"TUESDAY",JOURNAL!P:P,"DC")</f>
        <v>0</v>
      </c>
      <c r="K8" s="42" t="s">
        <v>31</v>
      </c>
      <c r="L8" s="48">
        <f>COUNTIFS(JOURNAL!D:D,"TUESDAY",JOURNAL!O:O,"LS")</f>
        <v>0</v>
      </c>
      <c r="N8" s="285"/>
      <c r="O8" s="46" t="s">
        <v>37</v>
      </c>
      <c r="P8" s="48">
        <f>COUNTIFS(JOURNAL!D:D,"WEDNESDAY",JOURNAL!P:P,"DC")</f>
        <v>0</v>
      </c>
      <c r="Q8" s="42" t="s">
        <v>31</v>
      </c>
      <c r="R8" s="48">
        <f>COUNTIFS(JOURNAL!D:D,"WEDNESDAY",JOURNAL!O:O,"LS")</f>
        <v>0</v>
      </c>
      <c r="T8" s="285"/>
      <c r="U8" s="46" t="s">
        <v>37</v>
      </c>
      <c r="V8" s="48">
        <f>COUNTIFS(JOURNAL!D:D,"THURSDAY",JOURNAL!P:P,"DC")</f>
        <v>0</v>
      </c>
      <c r="W8" s="42" t="s">
        <v>31</v>
      </c>
      <c r="X8" s="48">
        <f>COUNTIFS(JOURNAL!D:D,"THURSDAY",JOURNAL!O:O,"LS")</f>
        <v>0</v>
      </c>
      <c r="Z8" s="285"/>
      <c r="AA8" s="46" t="s">
        <v>37</v>
      </c>
      <c r="AB8" s="48">
        <f>COUNTIFS(JOURNAL!D:D,"FRIDAY",JOURNAL!P:P,"DC")</f>
        <v>0</v>
      </c>
      <c r="AC8" s="42" t="s">
        <v>31</v>
      </c>
      <c r="AD8" s="48">
        <f>COUNTIFS(JOURNAL!D:D,"FRIDAY",JOURNAL!O:O,"LS")</f>
        <v>0</v>
      </c>
      <c r="AF8" s="110" t="s">
        <v>54</v>
      </c>
      <c r="AG8" s="86">
        <f>AB11</f>
        <v>0</v>
      </c>
      <c r="AH8" s="125">
        <f>SMALL(AG4:AG8,1)</f>
        <v>0</v>
      </c>
      <c r="AJ8" s="74" t="s">
        <v>54</v>
      </c>
      <c r="AK8" s="75">
        <f>AD4</f>
        <v>0</v>
      </c>
      <c r="AL8" s="75">
        <f>AD5</f>
        <v>0</v>
      </c>
      <c r="AM8" s="75">
        <f>AD6</f>
        <v>0</v>
      </c>
      <c r="AN8" s="75">
        <f>AD7</f>
        <v>0</v>
      </c>
      <c r="AO8" s="75">
        <f>AD8</f>
        <v>0</v>
      </c>
      <c r="AP8" s="75">
        <f>AD9</f>
        <v>0</v>
      </c>
      <c r="AQ8" s="75">
        <f>AD10</f>
        <v>0</v>
      </c>
      <c r="AS8" s="273"/>
      <c r="AT8" s="271"/>
      <c r="AU8" s="59" t="s">
        <v>33</v>
      </c>
      <c r="AV8" s="166">
        <f>COUNTIFS(JOURNAL!F:F,"1",JOURNAL!D:D,"MONDAY",JOURNAL!O:O,"OT +")</f>
        <v>0</v>
      </c>
      <c r="AW8" s="271"/>
      <c r="AX8" s="59" t="s">
        <v>33</v>
      </c>
      <c r="AY8" s="166">
        <f>COUNTIFS(JOURNAL!F:F,"1",JOURNAL!D:D,"TUESDAY",JOURNAL!O:O,"OT +")</f>
        <v>0</v>
      </c>
      <c r="AZ8" s="271"/>
      <c r="BA8" s="59" t="s">
        <v>33</v>
      </c>
      <c r="BB8" s="166">
        <f>COUNTIFS(JOURNAL!F:F,"1",JOURNAL!D:D,"WEDNESDAY",JOURNAL!O:O,"OT +")</f>
        <v>0</v>
      </c>
      <c r="BC8" s="271"/>
      <c r="BD8" s="59" t="s">
        <v>33</v>
      </c>
      <c r="BE8" s="166">
        <f>COUNTIFS(JOURNAL!F:F,"1",JOURNAL!D:D,"THURSDAY",JOURNAL!O:O,"OT +")</f>
        <v>0</v>
      </c>
      <c r="BF8" s="271"/>
      <c r="BG8" s="59" t="s">
        <v>33</v>
      </c>
      <c r="BH8" s="166">
        <f>COUNTIFS(JOURNAL!F:F,"1",JOURNAL!D:D,"FRIDAY",JOURNAL!O:O,"OT +")</f>
        <v>0</v>
      </c>
    </row>
    <row r="9" spans="2:60" ht="21" customHeight="1" x14ac:dyDescent="0.25">
      <c r="B9" s="285"/>
      <c r="C9" s="33" t="s">
        <v>39</v>
      </c>
      <c r="D9" s="48">
        <f>COUNTIFS(JOURNAL!D:D,"MONDAY",JOURNAL!P:P,"RNG")</f>
        <v>0</v>
      </c>
      <c r="E9" s="43" t="s">
        <v>33</v>
      </c>
      <c r="F9" s="48">
        <f>COUNTIFS(JOURNAL!D:D,"MONDAY",JOURNAL!O:O,"OT +")</f>
        <v>0</v>
      </c>
      <c r="H9" s="285"/>
      <c r="I9" s="126" t="s">
        <v>39</v>
      </c>
      <c r="J9" s="87">
        <f>COUNTIFS(JOURNAL!D:D,"TUESDAY",JOURNAL!P:P,"RNG")</f>
        <v>0</v>
      </c>
      <c r="K9" s="43" t="s">
        <v>33</v>
      </c>
      <c r="L9" s="48">
        <f>COUNTIFS(JOURNAL!D:D,"TUESDAY",JOURNAL!O:O,"OT +")</f>
        <v>0</v>
      </c>
      <c r="N9" s="285"/>
      <c r="O9" s="126" t="s">
        <v>39</v>
      </c>
      <c r="P9" s="87">
        <f>COUNTIFS(JOURNAL!D:D,"WEDNESDAY",JOURNAL!P:P,"RNG")</f>
        <v>0</v>
      </c>
      <c r="Q9" s="43" t="s">
        <v>33</v>
      </c>
      <c r="R9" s="48">
        <f>COUNTIFS(JOURNAL!D:D,"WEDNESDAY",JOURNAL!O:O,"OT +")</f>
        <v>0</v>
      </c>
      <c r="T9" s="285"/>
      <c r="U9" s="33" t="s">
        <v>39</v>
      </c>
      <c r="V9" s="48">
        <f>COUNTIFS(JOURNAL!D:D,"THURSDAY",JOURNAL!P:P,"RNG")</f>
        <v>0</v>
      </c>
      <c r="W9" s="43" t="s">
        <v>33</v>
      </c>
      <c r="X9" s="48">
        <f>COUNTIFS(JOURNAL!D:D,"THURSDAY",JOURNAL!O:O,"OT +")</f>
        <v>0</v>
      </c>
      <c r="Z9" s="285"/>
      <c r="AA9" s="33" t="s">
        <v>39</v>
      </c>
      <c r="AB9" s="48">
        <f>COUNTIFS(JOURNAL!D:D,"FRIDAY",JOURNAL!P:P,"RNG")</f>
        <v>0</v>
      </c>
      <c r="AC9" s="43" t="s">
        <v>33</v>
      </c>
      <c r="AD9" s="48">
        <f>COUNTIFS(JOURNAL!D:D,"FRIDAY",JOURNAL!O:O,"OT +")</f>
        <v>0</v>
      </c>
      <c r="AS9" s="273"/>
      <c r="AT9" s="271"/>
      <c r="AU9" s="60" t="s">
        <v>34</v>
      </c>
      <c r="AV9" s="166">
        <f>COUNTIFS(JOURNAL!F:F,"1",JOURNAL!D:D,"MONDAY",JOURNAL!O:O,"OT -")</f>
        <v>0</v>
      </c>
      <c r="AW9" s="271"/>
      <c r="AX9" s="60" t="s">
        <v>34</v>
      </c>
      <c r="AY9" s="166">
        <f>COUNTIFS(JOURNAL!F:F,"1",JOURNAL!D:D,"TUESDAY",JOURNAL!O:O,"OT -")</f>
        <v>0</v>
      </c>
      <c r="AZ9" s="271"/>
      <c r="BA9" s="60" t="s">
        <v>34</v>
      </c>
      <c r="BB9" s="166">
        <f>COUNTIFS(JOURNAL!F:F,"1",JOURNAL!D:D,"WEDNESDAY",JOURNAL!O:O,"OT -")</f>
        <v>0</v>
      </c>
      <c r="BC9" s="271"/>
      <c r="BD9" s="60" t="s">
        <v>34</v>
      </c>
      <c r="BE9" s="166">
        <f>COUNTIFS(JOURNAL!F:F,"1",JOURNAL!D:D,"THURSDAY",JOURNAL!O:O,"OT -")</f>
        <v>0</v>
      </c>
      <c r="BF9" s="271"/>
      <c r="BG9" s="60" t="s">
        <v>34</v>
      </c>
      <c r="BH9" s="166">
        <f>COUNTIFS(JOURNAL!F:F,"1",JOURNAL!D:D,"FRIDAY",JOURNAL!O:O,"OT -")</f>
        <v>0</v>
      </c>
    </row>
    <row r="10" spans="2:60" ht="20.25" customHeight="1" x14ac:dyDescent="0.25">
      <c r="B10" s="285"/>
      <c r="C10" s="30" t="s">
        <v>38</v>
      </c>
      <c r="D10" s="48">
        <f>COUNTIFS(JOURNAL!D:D,"MONDAY",JOURNAL!P:P,"Keep Went")</f>
        <v>0</v>
      </c>
      <c r="E10" s="44" t="s">
        <v>34</v>
      </c>
      <c r="F10" s="48">
        <f>COUNTIFS(JOURNAL!D:D,"MONDAY",JOURNAL!O:O,"OT -")</f>
        <v>0</v>
      </c>
      <c r="H10" s="285"/>
      <c r="I10" s="30" t="s">
        <v>38</v>
      </c>
      <c r="J10" s="48">
        <f>COUNTIFS(JOURNAL!D:D,"TUESDAY",JOURNAL!P:P,"Keep Went")</f>
        <v>0</v>
      </c>
      <c r="K10" s="44" t="s">
        <v>34</v>
      </c>
      <c r="L10" s="48">
        <f>COUNTIFS(JOURNAL!D:D,"TUESDAY",JOURNAL!O:O,"OT -")</f>
        <v>0</v>
      </c>
      <c r="N10" s="285"/>
      <c r="O10" s="30" t="s">
        <v>38</v>
      </c>
      <c r="P10" s="48">
        <f>COUNTIFS(JOURNAL!D:D,"WEDNESDAY",JOURNAL!P:P,"Keep Went")</f>
        <v>0</v>
      </c>
      <c r="Q10" s="44" t="s">
        <v>34</v>
      </c>
      <c r="R10" s="48">
        <f>COUNTIFS(JOURNAL!D:D,"WEDNESDAY",JOURNAL!O:O,"OT -")</f>
        <v>0</v>
      </c>
      <c r="T10" s="285"/>
      <c r="U10" s="103" t="s">
        <v>38</v>
      </c>
      <c r="V10" s="87">
        <f>COUNTIFS(JOURNAL!D:D,"THURSDAY",JOURNAL!P:P,"Keep Went")</f>
        <v>0</v>
      </c>
      <c r="W10" s="44" t="s">
        <v>34</v>
      </c>
      <c r="X10" s="48">
        <f>COUNTIFS(JOURNAL!D:D,"THURSDAY",JOURNAL!O:O,"OT -")</f>
        <v>0</v>
      </c>
      <c r="Z10" s="285"/>
      <c r="AA10" s="103" t="s">
        <v>38</v>
      </c>
      <c r="AB10" s="87">
        <f>COUNTIFS(JOURNAL!D:D,"FRIDAY",JOURNAL!P:P,"Keep Went")</f>
        <v>0</v>
      </c>
      <c r="AC10" s="44" t="s">
        <v>34</v>
      </c>
      <c r="AD10" s="48">
        <f>COUNTIFS(JOURNAL!D:D,"FRIDAY",JOURNAL!O:O,"OT -")</f>
        <v>0</v>
      </c>
      <c r="AF10" s="108" t="s">
        <v>55</v>
      </c>
      <c r="AG10" s="109" t="s">
        <v>44</v>
      </c>
      <c r="AH10" s="109" t="s">
        <v>168</v>
      </c>
      <c r="AS10" s="273"/>
      <c r="AT10" s="271"/>
      <c r="AU10" s="25" t="s">
        <v>115</v>
      </c>
      <c r="AV10" s="166">
        <f>SUM(AV3:AV9)</f>
        <v>0</v>
      </c>
      <c r="AW10" s="271"/>
      <c r="AX10" s="25" t="s">
        <v>115</v>
      </c>
      <c r="AY10" s="166">
        <f>SUM(AY3:AY9)</f>
        <v>0</v>
      </c>
      <c r="AZ10" s="271"/>
      <c r="BA10" s="25" t="s">
        <v>115</v>
      </c>
      <c r="BB10" s="166">
        <f>SUM(BB3:BB9)</f>
        <v>0</v>
      </c>
      <c r="BC10" s="271"/>
      <c r="BD10" s="25" t="s">
        <v>115</v>
      </c>
      <c r="BE10" s="166">
        <f>SUM(BE3:BE9)</f>
        <v>0</v>
      </c>
      <c r="BF10" s="271"/>
      <c r="BG10" s="25" t="s">
        <v>115</v>
      </c>
      <c r="BH10" s="166">
        <f>SUM(BH3:BH9)</f>
        <v>0</v>
      </c>
    </row>
    <row r="11" spans="2:60" ht="20.25" customHeight="1" x14ac:dyDescent="0.25">
      <c r="B11" s="284"/>
      <c r="C11" s="104" t="s">
        <v>48</v>
      </c>
      <c r="D11" s="106">
        <f>SUMIF(JOURNAL!D:D,"MONDAY",JOURNAL!Q:Q)</f>
        <v>0</v>
      </c>
      <c r="E11" s="105" t="s">
        <v>44</v>
      </c>
      <c r="F11" s="49" t="e">
        <f>SUM(F4,F6,F7,F9)/C4</f>
        <v>#DIV/0!</v>
      </c>
      <c r="H11" s="284"/>
      <c r="I11" s="105" t="s">
        <v>48</v>
      </c>
      <c r="J11" s="86">
        <f>SUMIF(JOURNAL!D:D,"TUESDAY",JOURNAL!Q:Q)</f>
        <v>0</v>
      </c>
      <c r="K11" s="105" t="s">
        <v>44</v>
      </c>
      <c r="L11" s="49" t="e">
        <f>SUM(L4,L6,L7,L9)/I4</f>
        <v>#DIV/0!</v>
      </c>
      <c r="N11" s="284"/>
      <c r="O11" s="105" t="s">
        <v>48</v>
      </c>
      <c r="P11" s="86">
        <f>SUMIF(JOURNAL!D:D,"WEDNESDAY",JOURNAL!Q:Q)</f>
        <v>0</v>
      </c>
      <c r="Q11" s="105" t="s">
        <v>44</v>
      </c>
      <c r="R11" s="49" t="e">
        <f>SUM(R4,R6,R7,R9)/O4</f>
        <v>#DIV/0!</v>
      </c>
      <c r="T11" s="284"/>
      <c r="U11" s="105" t="s">
        <v>48</v>
      </c>
      <c r="V11" s="86">
        <f>SUMIF(JOURNAL!D:D,"THURSDAY",JOURNAL!Q:Q)</f>
        <v>0</v>
      </c>
      <c r="W11" s="105" t="s">
        <v>44</v>
      </c>
      <c r="X11" s="49" t="e">
        <f>SUM(X4,X6,X7,X9)/U4</f>
        <v>#DIV/0!</v>
      </c>
      <c r="Z11" s="284"/>
      <c r="AA11" s="105" t="s">
        <v>48</v>
      </c>
      <c r="AB11" s="86">
        <f>SUMIF(JOURNAL!D:D,"FRIDAY",JOURNAL!Q:Q)</f>
        <v>0</v>
      </c>
      <c r="AC11" s="105" t="s">
        <v>44</v>
      </c>
      <c r="AD11" s="49" t="e">
        <f>SUM(AD4,AD6,AD7,AD9)/AA4</f>
        <v>#DIV/0!</v>
      </c>
      <c r="AF11" s="110" t="s">
        <v>50</v>
      </c>
      <c r="AG11" s="86" t="e">
        <f>F11</f>
        <v>#DIV/0!</v>
      </c>
      <c r="AH11" s="80" t="e">
        <f>SMALL(AG11:AG15,5)</f>
        <v>#DIV/0!</v>
      </c>
      <c r="AS11" s="273"/>
      <c r="AT11" s="272"/>
      <c r="AU11" s="29" t="s">
        <v>44</v>
      </c>
      <c r="AV11" s="164" t="e">
        <f>SUM(AV3,AV5,AV6,AV8)/AV10</f>
        <v>#DIV/0!</v>
      </c>
      <c r="AW11" s="272"/>
      <c r="AX11" s="29" t="s">
        <v>44</v>
      </c>
      <c r="AY11" s="164" t="e">
        <f>SUM(AY3,AY5,AY6,AY8)/AY10</f>
        <v>#DIV/0!</v>
      </c>
      <c r="AZ11" s="272"/>
      <c r="BA11" s="29" t="s">
        <v>44</v>
      </c>
      <c r="BB11" s="164" t="e">
        <f>SUM(BB3,BB5,BB6,BB8)/BB10</f>
        <v>#DIV/0!</v>
      </c>
      <c r="BC11" s="272"/>
      <c r="BD11" s="29" t="s">
        <v>44</v>
      </c>
      <c r="BE11" s="164" t="e">
        <f>SUM(BE3,BE5,BE6,BE8)/BE10</f>
        <v>#DIV/0!</v>
      </c>
      <c r="BF11" s="272"/>
      <c r="BG11" s="29" t="s">
        <v>44</v>
      </c>
      <c r="BH11" s="164" t="e">
        <f>SUM(BH3,BH5,BH6,BH8)/BH10</f>
        <v>#DIV/0!</v>
      </c>
    </row>
    <row r="12" spans="2:60" ht="18.75" x14ac:dyDescent="0.25">
      <c r="AF12" s="110" t="s">
        <v>51</v>
      </c>
      <c r="AG12" s="86" t="e">
        <f>L11</f>
        <v>#DIV/0!</v>
      </c>
      <c r="AH12" s="81" t="e">
        <f>SMALL(AG11:AG15,4)</f>
        <v>#DIV/0!</v>
      </c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</row>
    <row r="13" spans="2:60" ht="19.5" customHeight="1" x14ac:dyDescent="0.25">
      <c r="AF13" s="110" t="s">
        <v>52</v>
      </c>
      <c r="AG13" s="86" t="e">
        <f>R11</f>
        <v>#DIV/0!</v>
      </c>
      <c r="AH13" s="82" t="e">
        <f>SMALL(AG11:AG15,3)</f>
        <v>#DIV/0!</v>
      </c>
      <c r="AS13" s="273" t="s">
        <v>69</v>
      </c>
      <c r="AT13" s="270" t="s">
        <v>50</v>
      </c>
      <c r="AU13" s="54" t="s">
        <v>27</v>
      </c>
      <c r="AV13" s="166">
        <f>COUNTIFS(JOURNAL!F:F,"2",JOURNAL!D:D,"MONDAY",JOURNAL!O:O,"TP")</f>
        <v>0</v>
      </c>
      <c r="AW13" s="270" t="s">
        <v>51</v>
      </c>
      <c r="AX13" s="54" t="s">
        <v>27</v>
      </c>
      <c r="AY13" s="166">
        <f>COUNTIFS(JOURNAL!F:F,"2",JOURNAL!D:D,"TUESDAY",JOURNAL!O:O,"TP")</f>
        <v>0</v>
      </c>
      <c r="AZ13" s="270" t="s">
        <v>52</v>
      </c>
      <c r="BA13" s="54" t="s">
        <v>27</v>
      </c>
      <c r="BB13" s="166">
        <f>COUNTIFS(JOURNAL!F:F,"2",JOURNAL!D:D,"WEDNESDAY",JOURNAL!O:O,"TP")</f>
        <v>0</v>
      </c>
      <c r="BC13" s="270" t="s">
        <v>53</v>
      </c>
      <c r="BD13" s="54" t="s">
        <v>27</v>
      </c>
      <c r="BE13" s="166">
        <f>COUNTIFS(JOURNAL!F:F,"2",JOURNAL!D:D,"THURSDAY",JOURNAL!O:O,"TP")</f>
        <v>0</v>
      </c>
      <c r="BF13" s="270" t="s">
        <v>54</v>
      </c>
      <c r="BG13" s="54" t="s">
        <v>27</v>
      </c>
      <c r="BH13" s="166">
        <f>COUNTIFS(JOURNAL!F:F,"2",JOURNAL!D:D,"FRIDAY",JOURNAL!O:O,"TP")</f>
        <v>0</v>
      </c>
    </row>
    <row r="14" spans="2:60" ht="17.25" customHeight="1" x14ac:dyDescent="0.25">
      <c r="AF14" s="110" t="s">
        <v>53</v>
      </c>
      <c r="AG14" s="86" t="e">
        <f>X11</f>
        <v>#DIV/0!</v>
      </c>
      <c r="AH14" s="83" t="e">
        <f>SMALL(AG11:AG15,2)</f>
        <v>#DIV/0!</v>
      </c>
      <c r="AS14" s="273"/>
      <c r="AT14" s="271"/>
      <c r="AU14" s="55" t="s">
        <v>29</v>
      </c>
      <c r="AV14" s="166">
        <f>COUNTIFS(JOURNAL!F:F,"2",JOURNAL!D:D,"MONDAY",JOURNAL!O:O,"SL")</f>
        <v>0</v>
      </c>
      <c r="AW14" s="271"/>
      <c r="AX14" s="55" t="s">
        <v>29</v>
      </c>
      <c r="AY14" s="166">
        <f>COUNTIFS(JOURNAL!F:F,"2",JOURNAL!D:D,"TUESDAY",JOURNAL!O:O,"SL")</f>
        <v>0</v>
      </c>
      <c r="AZ14" s="271"/>
      <c r="BA14" s="55" t="s">
        <v>29</v>
      </c>
      <c r="BB14" s="166">
        <f>COUNTIFS(JOURNAL!F:F,"2",JOURNAL!D:D,"WEDNESDAY",JOURNAL!O:O,"SL")</f>
        <v>0</v>
      </c>
      <c r="BC14" s="271"/>
      <c r="BD14" s="55" t="s">
        <v>29</v>
      </c>
      <c r="BE14" s="166">
        <f>COUNTIFS(JOURNAL!F:F,"2",JOURNAL!D:D,"THURSDAY",JOURNAL!O:O,"SL")</f>
        <v>0</v>
      </c>
      <c r="BF14" s="271"/>
      <c r="BG14" s="55" t="s">
        <v>29</v>
      </c>
      <c r="BH14" s="166">
        <f>COUNTIFS(JOURNAL!F:F,"2",JOURNAL!D:D,"FRIDAY",JOURNAL!O:O,"SL")</f>
        <v>0</v>
      </c>
    </row>
    <row r="15" spans="2:60" ht="18" customHeight="1" x14ac:dyDescent="0.25">
      <c r="AF15" s="110" t="s">
        <v>54</v>
      </c>
      <c r="AG15" s="86" t="e">
        <f>AD11</f>
        <v>#DIV/0!</v>
      </c>
      <c r="AH15" s="125" t="e">
        <f>SMALL(AG11:AG15,1)</f>
        <v>#DIV/0!</v>
      </c>
      <c r="AS15" s="273"/>
      <c r="AT15" s="271"/>
      <c r="AU15" s="56" t="s">
        <v>32</v>
      </c>
      <c r="AV15" s="166">
        <f>COUNTIFS(JOURNAL!F:F,"2",JOURNAL!D:D,"MONDAY",JOURNAL!O:O,"RF")</f>
        <v>0</v>
      </c>
      <c r="AW15" s="271"/>
      <c r="AX15" s="56" t="s">
        <v>32</v>
      </c>
      <c r="AY15" s="166">
        <f>COUNTIFS(JOURNAL!F:F,"2",JOURNAL!D:D,"TUESDAY",JOURNAL!O:O,"RF")</f>
        <v>0</v>
      </c>
      <c r="AZ15" s="271"/>
      <c r="BA15" s="56" t="s">
        <v>32</v>
      </c>
      <c r="BB15" s="166">
        <f>COUNTIFS(JOURNAL!F:F,"2",JOURNAL!D:D,"WEDNESDAY",JOURNAL!O:O,"RF")</f>
        <v>0</v>
      </c>
      <c r="BC15" s="271"/>
      <c r="BD15" s="56" t="s">
        <v>32</v>
      </c>
      <c r="BE15" s="166">
        <f>COUNTIFS(JOURNAL!F:F,"2",JOURNAL!D:D,"THURSDAY",JOURNAL!O:O,"RF")</f>
        <v>0</v>
      </c>
      <c r="BF15" s="271"/>
      <c r="BG15" s="56" t="s">
        <v>32</v>
      </c>
      <c r="BH15" s="166">
        <f>COUNTIFS(JOURNAL!F:F,"2",JOURNAL!D:D,"FRIDAY",JOURNAL!O:O,"RF")</f>
        <v>0</v>
      </c>
    </row>
    <row r="16" spans="2:60" ht="18" customHeight="1" x14ac:dyDescent="0.25">
      <c r="AS16" s="273"/>
      <c r="AT16" s="271"/>
      <c r="AU16" s="57" t="s">
        <v>30</v>
      </c>
      <c r="AV16" s="166">
        <f>COUNTIFS(JOURNAL!F:F,"2",JOURNAL!D:D,"MONDAY",JOURNAL!O:O,"PS")</f>
        <v>0</v>
      </c>
      <c r="AW16" s="271"/>
      <c r="AX16" s="57" t="s">
        <v>30</v>
      </c>
      <c r="AY16" s="166">
        <f>COUNTIFS(JOURNAL!F:F,"2",JOURNAL!D:D,"TUESDAY",JOURNAL!O:O,"PS")</f>
        <v>0</v>
      </c>
      <c r="AZ16" s="271"/>
      <c r="BA16" s="57" t="s">
        <v>30</v>
      </c>
      <c r="BB16" s="166">
        <f>COUNTIFS(JOURNAL!F:F,"2",JOURNAL!D:D,"WEDNESDAY",JOURNAL!O:O,"PS")</f>
        <v>0</v>
      </c>
      <c r="BC16" s="271"/>
      <c r="BD16" s="57" t="s">
        <v>30</v>
      </c>
      <c r="BE16" s="166">
        <f>COUNTIFS(JOURNAL!F:F,"2",JOURNAL!D:D,"THURSDAY",JOURNAL!O:O,"PS")</f>
        <v>0</v>
      </c>
      <c r="BF16" s="271"/>
      <c r="BG16" s="57" t="s">
        <v>30</v>
      </c>
      <c r="BH16" s="166">
        <f>COUNTIFS(JOURNAL!F:F,"2",JOURNAL!D:D,"FRIDAY",JOURNAL!O:O,"PS")</f>
        <v>0</v>
      </c>
    </row>
    <row r="17" spans="45:60" ht="18.75" customHeight="1" x14ac:dyDescent="0.25">
      <c r="AS17" s="273"/>
      <c r="AT17" s="271"/>
      <c r="AU17" s="58" t="s">
        <v>31</v>
      </c>
      <c r="AV17" s="166">
        <f>COUNTIFS(JOURNAL!F:F,"2",JOURNAL!D:D,"MONDAY",JOURNAL!O:O,"LS")</f>
        <v>0</v>
      </c>
      <c r="AW17" s="271"/>
      <c r="AX17" s="58" t="s">
        <v>31</v>
      </c>
      <c r="AY17" s="166">
        <f>COUNTIFS(JOURNAL!F:F,"2",JOURNAL!D:D,"TUESDAY",JOURNAL!O:O,"LS")</f>
        <v>0</v>
      </c>
      <c r="AZ17" s="271"/>
      <c r="BA17" s="58" t="s">
        <v>31</v>
      </c>
      <c r="BB17" s="166">
        <f>COUNTIFS(JOURNAL!F:F,"2",JOURNAL!D:D,"WEDNESDAY",JOURNAL!O:O,"LS")</f>
        <v>0</v>
      </c>
      <c r="BC17" s="271"/>
      <c r="BD17" s="58" t="s">
        <v>31</v>
      </c>
      <c r="BE17" s="166">
        <f>COUNTIFS(JOURNAL!F:F,"2",JOURNAL!D:D,"THURSDAY",JOURNAL!O:O,"LS")</f>
        <v>0</v>
      </c>
      <c r="BF17" s="271"/>
      <c r="BG17" s="58" t="s">
        <v>31</v>
      </c>
      <c r="BH17" s="166">
        <f>COUNTIFS(JOURNAL!F:F,"2",JOURNAL!D:D,"FRIDAY",JOURNAL!O:O,"LS")</f>
        <v>0</v>
      </c>
    </row>
    <row r="18" spans="45:60" ht="20.25" customHeight="1" x14ac:dyDescent="0.25">
      <c r="AS18" s="273"/>
      <c r="AT18" s="271"/>
      <c r="AU18" s="59" t="s">
        <v>33</v>
      </c>
      <c r="AV18" s="166">
        <f>COUNTIFS(JOURNAL!F:F,"2",JOURNAL!D:D,"MONDAY",JOURNAL!O:O,"OT +")</f>
        <v>0</v>
      </c>
      <c r="AW18" s="271"/>
      <c r="AX18" s="59" t="s">
        <v>33</v>
      </c>
      <c r="AY18" s="166">
        <f>COUNTIFS(JOURNAL!F:F,"2",JOURNAL!D:D,"TUESDAY",JOURNAL!O:O,"OT +")</f>
        <v>0</v>
      </c>
      <c r="AZ18" s="271"/>
      <c r="BA18" s="59" t="s">
        <v>33</v>
      </c>
      <c r="BB18" s="166">
        <f>COUNTIFS(JOURNAL!F:F,"2",JOURNAL!D:D,"WEDNESDAY",JOURNAL!O:O,"OT +")</f>
        <v>0</v>
      </c>
      <c r="BC18" s="271"/>
      <c r="BD18" s="59" t="s">
        <v>33</v>
      </c>
      <c r="BE18" s="166">
        <f>COUNTIFS(JOURNAL!F:F,"2",JOURNAL!D:D,"THURSDAY",JOURNAL!O:O,"OT +")</f>
        <v>0</v>
      </c>
      <c r="BF18" s="271"/>
      <c r="BG18" s="59" t="s">
        <v>33</v>
      </c>
      <c r="BH18" s="166">
        <f>COUNTIFS(JOURNAL!F:F,"2",JOURNAL!D:D,"FRIDAY",JOURNAL!O:O,"OT +")</f>
        <v>0</v>
      </c>
    </row>
    <row r="19" spans="45:60" ht="20.25" customHeight="1" x14ac:dyDescent="0.25">
      <c r="AS19" s="273"/>
      <c r="AT19" s="271"/>
      <c r="AU19" s="60" t="s">
        <v>34</v>
      </c>
      <c r="AV19" s="166">
        <f>COUNTIFS(JOURNAL!F:F,"2",JOURNAL!D:D,"MONDAY",JOURNAL!O:O,"OT -")</f>
        <v>0</v>
      </c>
      <c r="AW19" s="271"/>
      <c r="AX19" s="60" t="s">
        <v>34</v>
      </c>
      <c r="AY19" s="166">
        <f>COUNTIFS(JOURNAL!F:F,"2",JOURNAL!D:D,"TUESDAY",JOURNAL!O:O,"OT -")</f>
        <v>0</v>
      </c>
      <c r="AZ19" s="271"/>
      <c r="BA19" s="60" t="s">
        <v>34</v>
      </c>
      <c r="BB19" s="166">
        <f>COUNTIFS(JOURNAL!F:F,"2",JOURNAL!D:D,"WEDNESDAY",JOURNAL!O:O,"OT -")</f>
        <v>0</v>
      </c>
      <c r="BC19" s="271"/>
      <c r="BD19" s="60" t="s">
        <v>34</v>
      </c>
      <c r="BE19" s="166">
        <f>COUNTIFS(JOURNAL!F:F,"2",JOURNAL!D:D,"THURSDAY",JOURNAL!O:O,"OT -")</f>
        <v>0</v>
      </c>
      <c r="BF19" s="271"/>
      <c r="BG19" s="60" t="s">
        <v>34</v>
      </c>
      <c r="BH19" s="166">
        <f>COUNTIFS(JOURNAL!F:F,"2",JOURNAL!D:D,"FRIDAY",JOURNAL!O:O,"OT -")</f>
        <v>0</v>
      </c>
    </row>
    <row r="20" spans="45:60" ht="18" customHeight="1" x14ac:dyDescent="0.25">
      <c r="AS20" s="273"/>
      <c r="AT20" s="271"/>
      <c r="AU20" s="25" t="s">
        <v>115</v>
      </c>
      <c r="AV20" s="166">
        <f>SUM(AV13:AV19)</f>
        <v>0</v>
      </c>
      <c r="AW20" s="271"/>
      <c r="AX20" s="25" t="s">
        <v>115</v>
      </c>
      <c r="AY20" s="166">
        <f>SUM(AY13:AY19)</f>
        <v>0</v>
      </c>
      <c r="AZ20" s="271"/>
      <c r="BA20" s="25" t="s">
        <v>115</v>
      </c>
      <c r="BB20" s="166">
        <f>SUM(BB13:BB19)</f>
        <v>0</v>
      </c>
      <c r="BC20" s="271"/>
      <c r="BD20" s="25" t="s">
        <v>115</v>
      </c>
      <c r="BE20" s="166">
        <f>SUM(BE13:BE19)</f>
        <v>0</v>
      </c>
      <c r="BF20" s="271"/>
      <c r="BG20" s="25" t="s">
        <v>115</v>
      </c>
      <c r="BH20" s="166">
        <f>SUM(BH13:BH19)</f>
        <v>0</v>
      </c>
    </row>
    <row r="21" spans="45:60" ht="18.75" customHeight="1" x14ac:dyDescent="0.25">
      <c r="AS21" s="273"/>
      <c r="AT21" s="272"/>
      <c r="AU21" s="29" t="s">
        <v>44</v>
      </c>
      <c r="AV21" s="164" t="e">
        <f>SUM(AV13,AV15,AV16,AV18)/AV20</f>
        <v>#DIV/0!</v>
      </c>
      <c r="AW21" s="272"/>
      <c r="AX21" s="29" t="s">
        <v>44</v>
      </c>
      <c r="AY21" s="164" t="e">
        <f>SUM(AY13,AY15,AY16,AY18)/AY20</f>
        <v>#DIV/0!</v>
      </c>
      <c r="AZ21" s="272"/>
      <c r="BA21" s="29" t="s">
        <v>44</v>
      </c>
      <c r="BB21" s="164" t="e">
        <f>SUM(BB13,BB15,BB16,BB18)/BB20</f>
        <v>#DIV/0!</v>
      </c>
      <c r="BC21" s="272"/>
      <c r="BD21" s="29" t="s">
        <v>44</v>
      </c>
      <c r="BE21" s="164" t="e">
        <f>SUM(BE13,BE15,BE16,BE18)/BE20</f>
        <v>#DIV/0!</v>
      </c>
      <c r="BF21" s="272"/>
      <c r="BG21" s="29" t="s">
        <v>44</v>
      </c>
      <c r="BH21" s="164" t="e">
        <f>SUM(BH13,BH15,BH16,BH18)/BH20</f>
        <v>#DIV/0!</v>
      </c>
    </row>
    <row r="22" spans="45:60" x14ac:dyDescent="0.25"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</row>
    <row r="23" spans="45:60" ht="20.25" customHeight="1" x14ac:dyDescent="0.25">
      <c r="AS23" s="273" t="s">
        <v>70</v>
      </c>
      <c r="AT23" s="270" t="s">
        <v>50</v>
      </c>
      <c r="AU23" s="54" t="s">
        <v>27</v>
      </c>
      <c r="AV23" s="166">
        <f>COUNTIFS(JOURNAL!F:F,"3",JOURNAL!D:D,"MONDAY",JOURNAL!O:O,"TP")</f>
        <v>0</v>
      </c>
      <c r="AW23" s="270" t="s">
        <v>51</v>
      </c>
      <c r="AX23" s="54" t="s">
        <v>27</v>
      </c>
      <c r="AY23" s="166">
        <f>COUNTIFS(JOURNAL!F:F,"3",JOURNAL!D:D,"TUESDAY",JOURNAL!O:O,"TP")</f>
        <v>0</v>
      </c>
      <c r="AZ23" s="270" t="s">
        <v>52</v>
      </c>
      <c r="BA23" s="54" t="s">
        <v>27</v>
      </c>
      <c r="BB23" s="166">
        <f>COUNTIFS(JOURNAL!F:F,"3",JOURNAL!D:D,"WEDNESDAY",JOURNAL!O:O,"TP")</f>
        <v>0</v>
      </c>
      <c r="BC23" s="270" t="s">
        <v>53</v>
      </c>
      <c r="BD23" s="54" t="s">
        <v>27</v>
      </c>
      <c r="BE23" s="166">
        <f>COUNTIFS(JOURNAL!F:F,"3",JOURNAL!D:D,"THURSDAY",JOURNAL!O:O,"TP")</f>
        <v>0</v>
      </c>
      <c r="BF23" s="270" t="s">
        <v>54</v>
      </c>
      <c r="BG23" s="54" t="s">
        <v>27</v>
      </c>
      <c r="BH23" s="166">
        <f>COUNTIFS(JOURNAL!F:F,"3",JOURNAL!D:D,"FRIDAY",JOURNAL!O:O,"TP")</f>
        <v>0</v>
      </c>
    </row>
    <row r="24" spans="45:60" ht="19.5" customHeight="1" x14ac:dyDescent="0.25">
      <c r="AS24" s="273"/>
      <c r="AT24" s="271"/>
      <c r="AU24" s="55" t="s">
        <v>29</v>
      </c>
      <c r="AV24" s="166">
        <f>COUNTIFS(JOURNAL!F:F,"3",JOURNAL!D:D,"MONDAY",JOURNAL!O:O,"SL")</f>
        <v>0</v>
      </c>
      <c r="AW24" s="271"/>
      <c r="AX24" s="55" t="s">
        <v>29</v>
      </c>
      <c r="AY24" s="166">
        <f>COUNTIFS(JOURNAL!F:F,"3",JOURNAL!D:D,"TUESDAY",JOURNAL!O:O,"SL")</f>
        <v>0</v>
      </c>
      <c r="AZ24" s="271"/>
      <c r="BA24" s="55" t="s">
        <v>29</v>
      </c>
      <c r="BB24" s="166">
        <f>COUNTIFS(JOURNAL!F:F,"3",JOURNAL!D:D,"WEDNESDAY",JOURNAL!O:O,"SL")</f>
        <v>0</v>
      </c>
      <c r="BC24" s="271"/>
      <c r="BD24" s="55" t="s">
        <v>29</v>
      </c>
      <c r="BE24" s="166">
        <f>COUNTIFS(JOURNAL!F:F,"3",JOURNAL!D:D,"THURSDAY",JOURNAL!O:O,"SL")</f>
        <v>0</v>
      </c>
      <c r="BF24" s="271"/>
      <c r="BG24" s="55" t="s">
        <v>29</v>
      </c>
      <c r="BH24" s="166">
        <f>COUNTIFS(JOURNAL!F:F,"3",JOURNAL!D:D,"FRIDAY",JOURNAL!O:O,"SL")</f>
        <v>0</v>
      </c>
    </row>
    <row r="25" spans="45:60" ht="15.75" x14ac:dyDescent="0.25">
      <c r="AS25" s="273"/>
      <c r="AT25" s="271"/>
      <c r="AU25" s="56" t="s">
        <v>32</v>
      </c>
      <c r="AV25" s="166">
        <f>COUNTIFS(JOURNAL!F:F,"3",JOURNAL!D:D,"MONDAY",JOURNAL!O:O,"RF")</f>
        <v>0</v>
      </c>
      <c r="AW25" s="271"/>
      <c r="AX25" s="56" t="s">
        <v>32</v>
      </c>
      <c r="AY25" s="166">
        <f>COUNTIFS(JOURNAL!F:F,"3",JOURNAL!D:D,"TUESDAY",JOURNAL!O:O,"RF")</f>
        <v>0</v>
      </c>
      <c r="AZ25" s="271"/>
      <c r="BA25" s="56" t="s">
        <v>32</v>
      </c>
      <c r="BB25" s="166">
        <f>COUNTIFS(JOURNAL!F:F,"3",JOURNAL!D:D,"WEDNESDAY",JOURNAL!O:O,"RF")</f>
        <v>0</v>
      </c>
      <c r="BC25" s="271"/>
      <c r="BD25" s="56" t="s">
        <v>32</v>
      </c>
      <c r="BE25" s="166">
        <f>COUNTIFS(JOURNAL!F:F,"3",JOURNAL!D:D,"THURSDAY",JOURNAL!O:O,"RF")</f>
        <v>0</v>
      </c>
      <c r="BF25" s="271"/>
      <c r="BG25" s="56" t="s">
        <v>32</v>
      </c>
      <c r="BH25" s="166">
        <f>COUNTIFS(JOURNAL!F:F,"3",JOURNAL!D:D,"FRIDAY",JOURNAL!O:O,"RF")</f>
        <v>0</v>
      </c>
    </row>
    <row r="26" spans="45:60" ht="15.75" x14ac:dyDescent="0.25">
      <c r="AS26" s="273"/>
      <c r="AT26" s="271"/>
      <c r="AU26" s="57" t="s">
        <v>30</v>
      </c>
      <c r="AV26" s="166">
        <f>COUNTIFS(JOURNAL!F:F,"3",JOURNAL!D:D,"MONDAY",JOURNAL!O:O,"PS")</f>
        <v>0</v>
      </c>
      <c r="AW26" s="271"/>
      <c r="AX26" s="57" t="s">
        <v>30</v>
      </c>
      <c r="AY26" s="166">
        <f>COUNTIFS(JOURNAL!F:F,"3",JOURNAL!D:D,"TUESDAY",JOURNAL!O:O,"PS")</f>
        <v>0</v>
      </c>
      <c r="AZ26" s="271"/>
      <c r="BA26" s="57" t="s">
        <v>30</v>
      </c>
      <c r="BB26" s="166">
        <f>COUNTIFS(JOURNAL!F:F,"3",JOURNAL!D:D,"WEDNESDAY",JOURNAL!O:O,"PS")</f>
        <v>0</v>
      </c>
      <c r="BC26" s="271"/>
      <c r="BD26" s="57" t="s">
        <v>30</v>
      </c>
      <c r="BE26" s="166">
        <f>COUNTIFS(JOURNAL!F:F,"3",JOURNAL!D:D,"THURSDAY",JOURNAL!O:O,"PS")</f>
        <v>0</v>
      </c>
      <c r="BF26" s="271"/>
      <c r="BG26" s="57" t="s">
        <v>30</v>
      </c>
      <c r="BH26" s="166">
        <f>COUNTIFS(JOURNAL!F:F,"3",JOURNAL!D:D,"FRIDAY",JOURNAL!O:O,"PS")</f>
        <v>0</v>
      </c>
    </row>
    <row r="27" spans="45:60" ht="15.75" x14ac:dyDescent="0.25">
      <c r="AS27" s="273"/>
      <c r="AT27" s="271"/>
      <c r="AU27" s="58" t="s">
        <v>31</v>
      </c>
      <c r="AV27" s="166">
        <f>COUNTIFS(JOURNAL!F:F,"3",JOURNAL!D:D,"MONDAY",JOURNAL!O:O,"LS")</f>
        <v>0</v>
      </c>
      <c r="AW27" s="271"/>
      <c r="AX27" s="58" t="s">
        <v>31</v>
      </c>
      <c r="AY27" s="166">
        <f>COUNTIFS(JOURNAL!F:F,"3",JOURNAL!D:D,"TUESDAY",JOURNAL!O:O,"LS")</f>
        <v>0</v>
      </c>
      <c r="AZ27" s="271"/>
      <c r="BA27" s="58" t="s">
        <v>31</v>
      </c>
      <c r="BB27" s="166">
        <f>COUNTIFS(JOURNAL!F:F,"3",JOURNAL!D:D,"WEDNESDAY",JOURNAL!O:O,"LS")</f>
        <v>0</v>
      </c>
      <c r="BC27" s="271"/>
      <c r="BD27" s="58" t="s">
        <v>31</v>
      </c>
      <c r="BE27" s="166">
        <f>COUNTIFS(JOURNAL!F:F,"3",JOURNAL!D:D,"THURSDAY",JOURNAL!O:O,"LS")</f>
        <v>0</v>
      </c>
      <c r="BF27" s="271"/>
      <c r="BG27" s="58" t="s">
        <v>31</v>
      </c>
      <c r="BH27" s="166">
        <f>COUNTIFS(JOURNAL!F:F,"3",JOURNAL!D:D,"FRIDAY",JOURNAL!O:O,"LS")</f>
        <v>0</v>
      </c>
    </row>
    <row r="28" spans="45:60" ht="15.75" x14ac:dyDescent="0.25">
      <c r="AS28" s="273"/>
      <c r="AT28" s="271"/>
      <c r="AU28" s="59" t="s">
        <v>33</v>
      </c>
      <c r="AV28" s="166">
        <f>COUNTIFS(JOURNAL!F:F,"3",JOURNAL!D:D,"MONDAY",JOURNAL!O:O,"OT +")</f>
        <v>0</v>
      </c>
      <c r="AW28" s="271"/>
      <c r="AX28" s="59" t="s">
        <v>33</v>
      </c>
      <c r="AY28" s="166">
        <f>COUNTIFS(JOURNAL!F:F,"3",JOURNAL!D:D,"TUESDAY",JOURNAL!O:O,"OT +")</f>
        <v>0</v>
      </c>
      <c r="AZ28" s="271"/>
      <c r="BA28" s="59" t="s">
        <v>33</v>
      </c>
      <c r="BB28" s="166">
        <f>COUNTIFS(JOURNAL!F:F,"3",JOURNAL!D:D,"WEDNESDAY",JOURNAL!O:O,"OT +")</f>
        <v>0</v>
      </c>
      <c r="BC28" s="271"/>
      <c r="BD28" s="59" t="s">
        <v>33</v>
      </c>
      <c r="BE28" s="166">
        <f>COUNTIFS(JOURNAL!F:F,"3",JOURNAL!D:D,"THURSDAY",JOURNAL!O:O,"OT +")</f>
        <v>0</v>
      </c>
      <c r="BF28" s="271"/>
      <c r="BG28" s="59" t="s">
        <v>33</v>
      </c>
      <c r="BH28" s="166">
        <f>COUNTIFS(JOURNAL!F:F,"3",JOURNAL!D:D,"FRIDAY",JOURNAL!O:O,"OT +")</f>
        <v>0</v>
      </c>
    </row>
    <row r="29" spans="45:60" ht="15.75" x14ac:dyDescent="0.25">
      <c r="AS29" s="273"/>
      <c r="AT29" s="271"/>
      <c r="AU29" s="60" t="s">
        <v>34</v>
      </c>
      <c r="AV29" s="166">
        <f>COUNTIFS(JOURNAL!F:F,"3",JOURNAL!D:D,"MONDAY",JOURNAL!O:O,"OT -")</f>
        <v>0</v>
      </c>
      <c r="AW29" s="271"/>
      <c r="AX29" s="60" t="s">
        <v>34</v>
      </c>
      <c r="AY29" s="166">
        <f>COUNTIFS(JOURNAL!F:F,"3",JOURNAL!D:D,"TUESDAY",JOURNAL!O:O,"OT -")</f>
        <v>0</v>
      </c>
      <c r="AZ29" s="271"/>
      <c r="BA29" s="60" t="s">
        <v>34</v>
      </c>
      <c r="BB29" s="166">
        <f>COUNTIFS(JOURNAL!F:F,"3",JOURNAL!D:D,"WEDNESDAY",JOURNAL!O:O,"OT -")</f>
        <v>0</v>
      </c>
      <c r="BC29" s="271"/>
      <c r="BD29" s="60" t="s">
        <v>34</v>
      </c>
      <c r="BE29" s="166">
        <f>COUNTIFS(JOURNAL!F:F,"3",JOURNAL!D:D,"THURSDAY",JOURNAL!O:O,"OT -")</f>
        <v>0</v>
      </c>
      <c r="BF29" s="271"/>
      <c r="BG29" s="60" t="s">
        <v>34</v>
      </c>
      <c r="BH29" s="166">
        <f>COUNTIFS(JOURNAL!F:F,"3",JOURNAL!D:D,"FRIDAY",JOURNAL!O:O,"OT -")</f>
        <v>0</v>
      </c>
    </row>
    <row r="30" spans="45:60" ht="17.25" customHeight="1" x14ac:dyDescent="0.25">
      <c r="AS30" s="273"/>
      <c r="AT30" s="271"/>
      <c r="AU30" s="25" t="s">
        <v>115</v>
      </c>
      <c r="AV30" s="166">
        <f>SUM(AV23:AV29)</f>
        <v>0</v>
      </c>
      <c r="AW30" s="271"/>
      <c r="AX30" s="25" t="s">
        <v>115</v>
      </c>
      <c r="AY30" s="166">
        <f>SUM(AY23:AY29)</f>
        <v>0</v>
      </c>
      <c r="AZ30" s="271"/>
      <c r="BA30" s="25" t="s">
        <v>115</v>
      </c>
      <c r="BB30" s="166">
        <f>SUM(BB23:BB29)</f>
        <v>0</v>
      </c>
      <c r="BC30" s="271"/>
      <c r="BD30" s="25" t="s">
        <v>115</v>
      </c>
      <c r="BE30" s="166">
        <f>SUM(BE23:BE29)</f>
        <v>0</v>
      </c>
      <c r="BF30" s="271"/>
      <c r="BG30" s="25" t="s">
        <v>115</v>
      </c>
      <c r="BH30" s="166">
        <f>SUM(BH23:BH29)</f>
        <v>0</v>
      </c>
    </row>
    <row r="31" spans="45:60" ht="21" customHeight="1" x14ac:dyDescent="0.25">
      <c r="AS31" s="273"/>
      <c r="AT31" s="272"/>
      <c r="AU31" s="29" t="s">
        <v>44</v>
      </c>
      <c r="AV31" s="164" t="e">
        <f>SUM(AV23,AV25,AV26,AV28)/AV30</f>
        <v>#DIV/0!</v>
      </c>
      <c r="AW31" s="272"/>
      <c r="AX31" s="29" t="s">
        <v>44</v>
      </c>
      <c r="AY31" s="164" t="e">
        <f>SUM(AY23,AY25,AY26,AY28)/AY30</f>
        <v>#DIV/0!</v>
      </c>
      <c r="AZ31" s="272"/>
      <c r="BA31" s="29" t="s">
        <v>44</v>
      </c>
      <c r="BB31" s="164" t="e">
        <f>SUM(BB23,BB25,BB26,BB28)/BB30</f>
        <v>#DIV/0!</v>
      </c>
      <c r="BC31" s="272"/>
      <c r="BD31" s="29" t="s">
        <v>44</v>
      </c>
      <c r="BE31" s="164" t="e">
        <f>SUM(BE23,BE25,BE26,BE28)/BE30</f>
        <v>#DIV/0!</v>
      </c>
      <c r="BF31" s="272"/>
      <c r="BG31" s="29" t="s">
        <v>44</v>
      </c>
      <c r="BH31" s="164" t="e">
        <f>SUM(BH23,BH25,BH26,BH28)/BH30</f>
        <v>#DIV/0!</v>
      </c>
    </row>
    <row r="32" spans="45:60" x14ac:dyDescent="0.25"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</row>
    <row r="33" spans="45:60" ht="18.75" customHeight="1" x14ac:dyDescent="0.25">
      <c r="AS33" s="273" t="s">
        <v>71</v>
      </c>
      <c r="AT33" s="270" t="s">
        <v>50</v>
      </c>
      <c r="AU33" s="54" t="s">
        <v>27</v>
      </c>
      <c r="AV33" s="166">
        <f>COUNTIFS(JOURNAL!F:F,"4",JOURNAL!D:D,"MONDAY",JOURNAL!O:O,"TP")</f>
        <v>0</v>
      </c>
      <c r="AW33" s="270" t="s">
        <v>51</v>
      </c>
      <c r="AX33" s="54" t="s">
        <v>27</v>
      </c>
      <c r="AY33" s="166">
        <f>COUNTIFS(JOURNAL!F:F,"4",JOURNAL!D:D,"TUESDAY",JOURNAL!O:O,"TP")</f>
        <v>0</v>
      </c>
      <c r="AZ33" s="270" t="s">
        <v>52</v>
      </c>
      <c r="BA33" s="54" t="s">
        <v>27</v>
      </c>
      <c r="BB33" s="166">
        <f>COUNTIFS(JOURNAL!F:F,"4",JOURNAL!D:D,"WEDNESDAY",JOURNAL!O:O,"TP")</f>
        <v>0</v>
      </c>
      <c r="BC33" s="270" t="s">
        <v>53</v>
      </c>
      <c r="BD33" s="54" t="s">
        <v>27</v>
      </c>
      <c r="BE33" s="166">
        <f>COUNTIFS(JOURNAL!F:F,"4",JOURNAL!D:D,"THURSDAY",JOURNAL!O:O,"TP")</f>
        <v>0</v>
      </c>
      <c r="BF33" s="270" t="s">
        <v>54</v>
      </c>
      <c r="BG33" s="54" t="s">
        <v>27</v>
      </c>
      <c r="BH33" s="166">
        <f>COUNTIFS(JOURNAL!F:F,"4",JOURNAL!D:D,"FRIDAY",JOURNAL!O:O,"TP")</f>
        <v>0</v>
      </c>
    </row>
    <row r="34" spans="45:60" ht="15.75" x14ac:dyDescent="0.25">
      <c r="AS34" s="273"/>
      <c r="AT34" s="271"/>
      <c r="AU34" s="55" t="s">
        <v>29</v>
      </c>
      <c r="AV34" s="166">
        <f>COUNTIFS(JOURNAL!F:F,"4",JOURNAL!D:D,"MONDAY",JOURNAL!O:O,"SL")</f>
        <v>0</v>
      </c>
      <c r="AW34" s="271"/>
      <c r="AX34" s="55" t="s">
        <v>29</v>
      </c>
      <c r="AY34" s="166">
        <f>COUNTIFS(JOURNAL!F:F,"4",JOURNAL!D:D,"TUESDAY",JOURNAL!O:O,"SL")</f>
        <v>0</v>
      </c>
      <c r="AZ34" s="271"/>
      <c r="BA34" s="55" t="s">
        <v>29</v>
      </c>
      <c r="BB34" s="166">
        <f>COUNTIFS(JOURNAL!F:F,"4",JOURNAL!D:D,"WEDNESDAY",JOURNAL!O:O,"SL")</f>
        <v>0</v>
      </c>
      <c r="BC34" s="271"/>
      <c r="BD34" s="55" t="s">
        <v>29</v>
      </c>
      <c r="BE34" s="166">
        <f>COUNTIFS(JOURNAL!F:F,"4",JOURNAL!D:D,"THURSDAY",JOURNAL!O:O,"SL")</f>
        <v>0</v>
      </c>
      <c r="BF34" s="271"/>
      <c r="BG34" s="55" t="s">
        <v>29</v>
      </c>
      <c r="BH34" s="166">
        <f>COUNTIFS(JOURNAL!F:F,"4",JOURNAL!D:D,"FRIDAY",JOURNAL!O:O,"SL")</f>
        <v>0</v>
      </c>
    </row>
    <row r="35" spans="45:60" ht="18" customHeight="1" x14ac:dyDescent="0.25">
      <c r="AS35" s="273"/>
      <c r="AT35" s="271"/>
      <c r="AU35" s="56" t="s">
        <v>32</v>
      </c>
      <c r="AV35" s="166">
        <f>COUNTIFS(JOURNAL!F:F,"4",JOURNAL!D:D,"MONDAY",JOURNAL!O:O,"RF")</f>
        <v>0</v>
      </c>
      <c r="AW35" s="271"/>
      <c r="AX35" s="56" t="s">
        <v>32</v>
      </c>
      <c r="AY35" s="166">
        <f>COUNTIFS(JOURNAL!F:F,"4",JOURNAL!D:D,"TUESDAY",JOURNAL!O:O,"RF")</f>
        <v>0</v>
      </c>
      <c r="AZ35" s="271"/>
      <c r="BA35" s="56" t="s">
        <v>32</v>
      </c>
      <c r="BB35" s="166">
        <f>COUNTIFS(JOURNAL!F:F,"4",JOURNAL!D:D,"WEDNESDAY",JOURNAL!O:O,"RF")</f>
        <v>0</v>
      </c>
      <c r="BC35" s="271"/>
      <c r="BD35" s="56" t="s">
        <v>32</v>
      </c>
      <c r="BE35" s="166">
        <f>COUNTIFS(JOURNAL!F:F,"4",JOURNAL!D:D,"THURSDAY",JOURNAL!O:O,"RF")</f>
        <v>0</v>
      </c>
      <c r="BF35" s="271"/>
      <c r="BG35" s="56" t="s">
        <v>32</v>
      </c>
      <c r="BH35" s="166">
        <f>COUNTIFS(JOURNAL!F:F,"4",JOURNAL!D:D,"FRIDAY",JOURNAL!O:O,"RF")</f>
        <v>0</v>
      </c>
    </row>
    <row r="36" spans="45:60" ht="15.75" x14ac:dyDescent="0.25">
      <c r="AS36" s="273"/>
      <c r="AT36" s="271"/>
      <c r="AU36" s="57" t="s">
        <v>30</v>
      </c>
      <c r="AV36" s="166">
        <f>COUNTIFS(JOURNAL!F:F,"4",JOURNAL!D:D,"MONDAY",JOURNAL!O:O,"PS")</f>
        <v>0</v>
      </c>
      <c r="AW36" s="271"/>
      <c r="AX36" s="57" t="s">
        <v>30</v>
      </c>
      <c r="AY36" s="166">
        <f>COUNTIFS(JOURNAL!F:F,"4",JOURNAL!D:D,"TUESDAY",JOURNAL!O:O,"PS")</f>
        <v>0</v>
      </c>
      <c r="AZ36" s="271"/>
      <c r="BA36" s="57" t="s">
        <v>30</v>
      </c>
      <c r="BB36" s="166">
        <f>COUNTIFS(JOURNAL!F:F,"4",JOURNAL!D:D,"WEDNESDAY",JOURNAL!O:O,"PS")</f>
        <v>0</v>
      </c>
      <c r="BC36" s="271"/>
      <c r="BD36" s="57" t="s">
        <v>30</v>
      </c>
      <c r="BE36" s="166">
        <f>COUNTIFS(JOURNAL!F:F,"4",JOURNAL!D:D,"THURSDAY",JOURNAL!O:O,"PS")</f>
        <v>0</v>
      </c>
      <c r="BF36" s="271"/>
      <c r="BG36" s="57" t="s">
        <v>30</v>
      </c>
      <c r="BH36" s="166">
        <f>COUNTIFS(JOURNAL!F:F,"4",JOURNAL!D:D,"FRIDAY",JOURNAL!O:O,"PS")</f>
        <v>0</v>
      </c>
    </row>
    <row r="37" spans="45:60" ht="15.75" x14ac:dyDescent="0.25">
      <c r="AS37" s="273"/>
      <c r="AT37" s="271"/>
      <c r="AU37" s="58" t="s">
        <v>31</v>
      </c>
      <c r="AV37" s="166">
        <f>COUNTIFS(JOURNAL!F:F,"4",JOURNAL!D:D,"MONDAY",JOURNAL!O:O,"LS")</f>
        <v>0</v>
      </c>
      <c r="AW37" s="271"/>
      <c r="AX37" s="58" t="s">
        <v>31</v>
      </c>
      <c r="AY37" s="166">
        <f>COUNTIFS(JOURNAL!F:F,"4",JOURNAL!D:D,"TUESDAY",JOURNAL!O:O,"LS")</f>
        <v>0</v>
      </c>
      <c r="AZ37" s="271"/>
      <c r="BA37" s="58" t="s">
        <v>31</v>
      </c>
      <c r="BB37" s="166">
        <f>COUNTIFS(JOURNAL!F:F,"4",JOURNAL!D:D,"WEDNESDAY",JOURNAL!O:O,"LS")</f>
        <v>0</v>
      </c>
      <c r="BC37" s="271"/>
      <c r="BD37" s="58" t="s">
        <v>31</v>
      </c>
      <c r="BE37" s="166">
        <f>COUNTIFS(JOURNAL!F:F,"4",JOURNAL!D:D,"THURSDAY",JOURNAL!O:O,"LS")</f>
        <v>0</v>
      </c>
      <c r="BF37" s="271"/>
      <c r="BG37" s="58" t="s">
        <v>31</v>
      </c>
      <c r="BH37" s="166">
        <f>COUNTIFS(JOURNAL!F:F,"4",JOURNAL!D:D,"FRIDAY",JOURNAL!O:O,"LS")</f>
        <v>0</v>
      </c>
    </row>
    <row r="38" spans="45:60" ht="15.75" x14ac:dyDescent="0.25">
      <c r="AS38" s="273"/>
      <c r="AT38" s="271"/>
      <c r="AU38" s="59" t="s">
        <v>33</v>
      </c>
      <c r="AV38" s="166">
        <f>COUNTIFS(JOURNAL!F:F,"4",JOURNAL!D:D,"MONDAY",JOURNAL!O:O,"OT +")</f>
        <v>0</v>
      </c>
      <c r="AW38" s="271"/>
      <c r="AX38" s="59" t="s">
        <v>33</v>
      </c>
      <c r="AY38" s="166">
        <f>COUNTIFS(JOURNAL!F:F,"4",JOURNAL!D:D,"TUESDAY",JOURNAL!O:O,"OT +")</f>
        <v>0</v>
      </c>
      <c r="AZ38" s="271"/>
      <c r="BA38" s="59" t="s">
        <v>33</v>
      </c>
      <c r="BB38" s="166">
        <f>COUNTIFS(JOURNAL!F:F,"4",JOURNAL!D:D,"WEDNESDAY",JOURNAL!O:O,"OT +")</f>
        <v>0</v>
      </c>
      <c r="BC38" s="271"/>
      <c r="BD38" s="59" t="s">
        <v>33</v>
      </c>
      <c r="BE38" s="166">
        <f>COUNTIFS(JOURNAL!F:F,"4",JOURNAL!D:D,"THURSDAY",JOURNAL!O:O,"OT +")</f>
        <v>0</v>
      </c>
      <c r="BF38" s="271"/>
      <c r="BG38" s="59" t="s">
        <v>33</v>
      </c>
      <c r="BH38" s="166">
        <f>COUNTIFS(JOURNAL!F:F,"4",JOURNAL!D:D,"FRIDAY",JOURNAL!O:O,"OT +")</f>
        <v>0</v>
      </c>
    </row>
    <row r="39" spans="45:60" ht="15.75" x14ac:dyDescent="0.25">
      <c r="AS39" s="273"/>
      <c r="AT39" s="271"/>
      <c r="AU39" s="60" t="s">
        <v>34</v>
      </c>
      <c r="AV39" s="166">
        <f>COUNTIFS(JOURNAL!F:F,"4",JOURNAL!D:D,"MONDAY",JOURNAL!O:O,"OT -")</f>
        <v>0</v>
      </c>
      <c r="AW39" s="271"/>
      <c r="AX39" s="60" t="s">
        <v>34</v>
      </c>
      <c r="AY39" s="166">
        <f>COUNTIFS(JOURNAL!F:F,"4",JOURNAL!D:D,"TUESDAY",JOURNAL!O:O,"OT -")</f>
        <v>0</v>
      </c>
      <c r="AZ39" s="271"/>
      <c r="BA39" s="60" t="s">
        <v>34</v>
      </c>
      <c r="BB39" s="166">
        <f>COUNTIFS(JOURNAL!F:F,"4",JOURNAL!D:D,"WEDNESDAY",JOURNAL!O:O,"OT -")</f>
        <v>0</v>
      </c>
      <c r="BC39" s="271"/>
      <c r="BD39" s="60" t="s">
        <v>34</v>
      </c>
      <c r="BE39" s="166">
        <f>COUNTIFS(JOURNAL!F:F,"4",JOURNAL!D:D,"THURSDAY",JOURNAL!O:O,"OT -")</f>
        <v>0</v>
      </c>
      <c r="BF39" s="271"/>
      <c r="BG39" s="60" t="s">
        <v>34</v>
      </c>
      <c r="BH39" s="166">
        <f>COUNTIFS(JOURNAL!F:F,"4",JOURNAL!D:D,"FRIDAY",JOURNAL!O:O,"OT -")</f>
        <v>0</v>
      </c>
    </row>
    <row r="40" spans="45:60" ht="18" customHeight="1" x14ac:dyDescent="0.25">
      <c r="AS40" s="273"/>
      <c r="AT40" s="271"/>
      <c r="AU40" s="25" t="s">
        <v>115</v>
      </c>
      <c r="AV40" s="166">
        <f>SUM(AV33:AV39)</f>
        <v>0</v>
      </c>
      <c r="AW40" s="271"/>
      <c r="AX40" s="25" t="s">
        <v>115</v>
      </c>
      <c r="AY40" s="166">
        <f>SUM(AY33:AY39)</f>
        <v>0</v>
      </c>
      <c r="AZ40" s="271"/>
      <c r="BA40" s="25" t="s">
        <v>115</v>
      </c>
      <c r="BB40" s="166">
        <f>SUM(BB33:BB39)</f>
        <v>0</v>
      </c>
      <c r="BC40" s="271"/>
      <c r="BD40" s="25" t="s">
        <v>115</v>
      </c>
      <c r="BE40" s="166">
        <f>SUM(BE33:BE39)</f>
        <v>0</v>
      </c>
      <c r="BF40" s="271"/>
      <c r="BG40" s="25" t="s">
        <v>115</v>
      </c>
      <c r="BH40" s="166">
        <f>SUM(BH33:BH39)</f>
        <v>0</v>
      </c>
    </row>
    <row r="41" spans="45:60" ht="17.25" customHeight="1" x14ac:dyDescent="0.25">
      <c r="AS41" s="273"/>
      <c r="AT41" s="272"/>
      <c r="AU41" s="29" t="s">
        <v>44</v>
      </c>
      <c r="AV41" s="164" t="e">
        <f>SUM(AV33,AV35,AV36,AV38)/AV40</f>
        <v>#DIV/0!</v>
      </c>
      <c r="AW41" s="272"/>
      <c r="AX41" s="29" t="s">
        <v>44</v>
      </c>
      <c r="AY41" s="164" t="e">
        <f>SUM(AY33,AY35,AY36,AY38)/AY40</f>
        <v>#DIV/0!</v>
      </c>
      <c r="AZ41" s="272"/>
      <c r="BA41" s="29" t="s">
        <v>44</v>
      </c>
      <c r="BB41" s="164" t="e">
        <f>SUM(BB33,BB35,BB36,BB38)/BB40</f>
        <v>#DIV/0!</v>
      </c>
      <c r="BC41" s="272"/>
      <c r="BD41" s="29" t="s">
        <v>44</v>
      </c>
      <c r="BE41" s="164" t="e">
        <f>SUM(BE33,BE35,BE36,BE38)/BE40</f>
        <v>#DIV/0!</v>
      </c>
      <c r="BF41" s="272"/>
      <c r="BG41" s="29" t="s">
        <v>44</v>
      </c>
      <c r="BH41" s="164" t="e">
        <f>SUM(BH33,BH35,BH36,BH38)/BH40</f>
        <v>#DIV/0!</v>
      </c>
    </row>
    <row r="42" spans="45:60" x14ac:dyDescent="0.25"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</row>
    <row r="43" spans="45:60" ht="16.5" customHeight="1" x14ac:dyDescent="0.25">
      <c r="AS43" s="273" t="s">
        <v>72</v>
      </c>
      <c r="AT43" s="270" t="s">
        <v>50</v>
      </c>
      <c r="AU43" s="54" t="s">
        <v>27</v>
      </c>
      <c r="AV43" s="166">
        <f>COUNTIFS(JOURNAL!F:F,"5",JOURNAL!D:D,"MONDAY",JOURNAL!O:O,"TP")</f>
        <v>0</v>
      </c>
      <c r="AW43" s="270" t="s">
        <v>51</v>
      </c>
      <c r="AX43" s="54" t="s">
        <v>27</v>
      </c>
      <c r="AY43" s="166">
        <f>COUNTIFS(JOURNAL!F:F,"5",JOURNAL!D:D,"TUESDAY",JOURNAL!O:O,"TP")</f>
        <v>0</v>
      </c>
      <c r="AZ43" s="270" t="s">
        <v>52</v>
      </c>
      <c r="BA43" s="54" t="s">
        <v>27</v>
      </c>
      <c r="BB43" s="166">
        <f>COUNTIFS(JOURNAL!F:F,"5",JOURNAL!D:D,"WEDNESDAY",JOURNAL!O:O,"TP")</f>
        <v>0</v>
      </c>
      <c r="BC43" s="270" t="s">
        <v>53</v>
      </c>
      <c r="BD43" s="54" t="s">
        <v>27</v>
      </c>
      <c r="BE43" s="166">
        <f>COUNTIFS(JOURNAL!F:F,"5",JOURNAL!D:D,"THURSDAY",JOURNAL!O:O,"TP")</f>
        <v>0</v>
      </c>
      <c r="BF43" s="270" t="s">
        <v>54</v>
      </c>
      <c r="BG43" s="54" t="s">
        <v>27</v>
      </c>
      <c r="BH43" s="166">
        <f>COUNTIFS(JOURNAL!F:F,"5",JOURNAL!D:D,"FRIDAY",JOURNAL!O:O,"TP")</f>
        <v>0</v>
      </c>
    </row>
    <row r="44" spans="45:60" ht="15.75" x14ac:dyDescent="0.25">
      <c r="AS44" s="273"/>
      <c r="AT44" s="271"/>
      <c r="AU44" s="55" t="s">
        <v>29</v>
      </c>
      <c r="AV44" s="166">
        <f>COUNTIFS(JOURNAL!F:F,"5",JOURNAL!D:D,"MONDAY",JOURNAL!O:O,"SL")</f>
        <v>0</v>
      </c>
      <c r="AW44" s="271"/>
      <c r="AX44" s="55" t="s">
        <v>29</v>
      </c>
      <c r="AY44" s="166">
        <f>COUNTIFS(JOURNAL!F:F,"5",JOURNAL!D:D,"TUESDAY",JOURNAL!O:O,"SL")</f>
        <v>0</v>
      </c>
      <c r="AZ44" s="271"/>
      <c r="BA44" s="55" t="s">
        <v>29</v>
      </c>
      <c r="BB44" s="166">
        <f>COUNTIFS(JOURNAL!F:F,"5",JOURNAL!D:D,"WEDNESDAY",JOURNAL!O:O,"SL")</f>
        <v>0</v>
      </c>
      <c r="BC44" s="271"/>
      <c r="BD44" s="55" t="s">
        <v>29</v>
      </c>
      <c r="BE44" s="166">
        <f>COUNTIFS(JOURNAL!F:F,"5",JOURNAL!D:D,"THURSDAY",JOURNAL!O:O,"SL")</f>
        <v>0</v>
      </c>
      <c r="BF44" s="271"/>
      <c r="BG44" s="55" t="s">
        <v>29</v>
      </c>
      <c r="BH44" s="166">
        <f>COUNTIFS(JOURNAL!F:F,"5",JOURNAL!D:D,"FRIDAY",JOURNAL!O:O,"SL")</f>
        <v>0</v>
      </c>
    </row>
    <row r="45" spans="45:60" ht="15.75" x14ac:dyDescent="0.25">
      <c r="AS45" s="273"/>
      <c r="AT45" s="271"/>
      <c r="AU45" s="56" t="s">
        <v>32</v>
      </c>
      <c r="AV45" s="166">
        <f>COUNTIFS(JOURNAL!F:F,"5",JOURNAL!D:D,"MONDAY",JOURNAL!O:O,"RF")</f>
        <v>0</v>
      </c>
      <c r="AW45" s="271"/>
      <c r="AX45" s="56" t="s">
        <v>32</v>
      </c>
      <c r="AY45" s="166">
        <f>COUNTIFS(JOURNAL!F:F,"5",JOURNAL!D:D,"TUESDAY",JOURNAL!O:O,"RF")</f>
        <v>0</v>
      </c>
      <c r="AZ45" s="271"/>
      <c r="BA45" s="56" t="s">
        <v>32</v>
      </c>
      <c r="BB45" s="166">
        <f>COUNTIFS(JOURNAL!F:F,"5",JOURNAL!D:D,"WEDNESDAY",JOURNAL!O:O,"RF")</f>
        <v>0</v>
      </c>
      <c r="BC45" s="271"/>
      <c r="BD45" s="56" t="s">
        <v>32</v>
      </c>
      <c r="BE45" s="166">
        <f>COUNTIFS(JOURNAL!F:F,"5",JOURNAL!D:D,"THURSDAY",JOURNAL!O:O,"RF")</f>
        <v>0</v>
      </c>
      <c r="BF45" s="271"/>
      <c r="BG45" s="56" t="s">
        <v>32</v>
      </c>
      <c r="BH45" s="166">
        <f>COUNTIFS(JOURNAL!F:F,"5",JOURNAL!D:D,"FRIDAY",JOURNAL!O:O,"RF")</f>
        <v>0</v>
      </c>
    </row>
    <row r="46" spans="45:60" ht="15.75" x14ac:dyDescent="0.25">
      <c r="AS46" s="273"/>
      <c r="AT46" s="271"/>
      <c r="AU46" s="57" t="s">
        <v>30</v>
      </c>
      <c r="AV46" s="166">
        <f>COUNTIFS(JOURNAL!F:F,"5",JOURNAL!D:D,"MONDAY",JOURNAL!O:O,"PS")</f>
        <v>0</v>
      </c>
      <c r="AW46" s="271"/>
      <c r="AX46" s="57" t="s">
        <v>30</v>
      </c>
      <c r="AY46" s="166">
        <f>COUNTIFS(JOURNAL!F:F,"5",JOURNAL!D:D,"TUESDAY",JOURNAL!O:O,"PS")</f>
        <v>0</v>
      </c>
      <c r="AZ46" s="271"/>
      <c r="BA46" s="57" t="s">
        <v>30</v>
      </c>
      <c r="BB46" s="166">
        <f>COUNTIFS(JOURNAL!F:F,"5",JOURNAL!D:D,"WEDNESDAY",JOURNAL!O:O,"PS")</f>
        <v>0</v>
      </c>
      <c r="BC46" s="271"/>
      <c r="BD46" s="57" t="s">
        <v>30</v>
      </c>
      <c r="BE46" s="166">
        <f>COUNTIFS(JOURNAL!F:F,"5",JOURNAL!D:D,"THURSDAY",JOURNAL!O:O,"PS")</f>
        <v>0</v>
      </c>
      <c r="BF46" s="271"/>
      <c r="BG46" s="57" t="s">
        <v>30</v>
      </c>
      <c r="BH46" s="166">
        <f>COUNTIFS(JOURNAL!F:F,"5",JOURNAL!D:D,"FRIDAY",JOURNAL!O:O,"PS")</f>
        <v>0</v>
      </c>
    </row>
    <row r="47" spans="45:60" ht="15.75" x14ac:dyDescent="0.25">
      <c r="AS47" s="273"/>
      <c r="AT47" s="271"/>
      <c r="AU47" s="58" t="s">
        <v>31</v>
      </c>
      <c r="AV47" s="166">
        <f>COUNTIFS(JOURNAL!F:F,"5",JOURNAL!D:D,"MONDAY",JOURNAL!O:O,"LS")</f>
        <v>0</v>
      </c>
      <c r="AW47" s="271"/>
      <c r="AX47" s="58" t="s">
        <v>31</v>
      </c>
      <c r="AY47" s="166">
        <f>COUNTIFS(JOURNAL!F:F,"5",JOURNAL!D:D,"TUESDAY",JOURNAL!O:O,"LS")</f>
        <v>0</v>
      </c>
      <c r="AZ47" s="271"/>
      <c r="BA47" s="58" t="s">
        <v>31</v>
      </c>
      <c r="BB47" s="166">
        <f>COUNTIFS(JOURNAL!F:F,"5",JOURNAL!D:D,"WEDNESDAY",JOURNAL!O:O,"LS")</f>
        <v>0</v>
      </c>
      <c r="BC47" s="271"/>
      <c r="BD47" s="58" t="s">
        <v>31</v>
      </c>
      <c r="BE47" s="166">
        <f>COUNTIFS(JOURNAL!F:F,"5",JOURNAL!D:D,"THURSDAY",JOURNAL!O:O,"LS")</f>
        <v>0</v>
      </c>
      <c r="BF47" s="271"/>
      <c r="BG47" s="58" t="s">
        <v>31</v>
      </c>
      <c r="BH47" s="166">
        <f>COUNTIFS(JOURNAL!F:F,"5",JOURNAL!D:D,"FRIDAY",JOURNAL!O:O,"LS")</f>
        <v>0</v>
      </c>
    </row>
    <row r="48" spans="45:60" ht="15.75" x14ac:dyDescent="0.25">
      <c r="AS48" s="273"/>
      <c r="AT48" s="271"/>
      <c r="AU48" s="59" t="s">
        <v>33</v>
      </c>
      <c r="AV48" s="166">
        <f>COUNTIFS(JOURNAL!F:F,"5",JOURNAL!D:D,"MONDAY",JOURNAL!O:O,"OT +")</f>
        <v>0</v>
      </c>
      <c r="AW48" s="271"/>
      <c r="AX48" s="59" t="s">
        <v>33</v>
      </c>
      <c r="AY48" s="166">
        <f>COUNTIFS(JOURNAL!F:F,"5",JOURNAL!D:D,"TUESDAY",JOURNAL!O:O,"OT +")</f>
        <v>0</v>
      </c>
      <c r="AZ48" s="271"/>
      <c r="BA48" s="59" t="s">
        <v>33</v>
      </c>
      <c r="BB48" s="166">
        <f>COUNTIFS(JOURNAL!F:F,"5",JOURNAL!D:D,"WEDNESDAY",JOURNAL!O:O,"OT +")</f>
        <v>0</v>
      </c>
      <c r="BC48" s="271"/>
      <c r="BD48" s="59" t="s">
        <v>33</v>
      </c>
      <c r="BE48" s="166">
        <f>COUNTIFS(JOURNAL!F:F,"5",JOURNAL!D:D,"THURSDAY",JOURNAL!O:O,"OT +")</f>
        <v>0</v>
      </c>
      <c r="BF48" s="271"/>
      <c r="BG48" s="59" t="s">
        <v>33</v>
      </c>
      <c r="BH48" s="166">
        <f>COUNTIFS(JOURNAL!F:F,"5",JOURNAL!D:D,"FRIDAY",JOURNAL!O:O,"OT +")</f>
        <v>0</v>
      </c>
    </row>
    <row r="49" spans="45:60" ht="15.75" x14ac:dyDescent="0.25">
      <c r="AS49" s="273"/>
      <c r="AT49" s="271"/>
      <c r="AU49" s="60" t="s">
        <v>34</v>
      </c>
      <c r="AV49" s="166">
        <f>COUNTIFS(JOURNAL!F:F,"5",JOURNAL!D:D,"MONDAY",JOURNAL!O:O,"OT -")</f>
        <v>0</v>
      </c>
      <c r="AW49" s="271"/>
      <c r="AX49" s="60" t="s">
        <v>34</v>
      </c>
      <c r="AY49" s="166">
        <f>COUNTIFS(JOURNAL!F:F,"5",JOURNAL!D:D,"TUESDAY",JOURNAL!O:O,"OT -")</f>
        <v>0</v>
      </c>
      <c r="AZ49" s="271"/>
      <c r="BA49" s="60" t="s">
        <v>34</v>
      </c>
      <c r="BB49" s="166">
        <f>COUNTIFS(JOURNAL!F:F,"5",JOURNAL!D:D,"WEDNESDAY",JOURNAL!O:O,"OT -")</f>
        <v>0</v>
      </c>
      <c r="BC49" s="271"/>
      <c r="BD49" s="60" t="s">
        <v>34</v>
      </c>
      <c r="BE49" s="166">
        <f>COUNTIFS(JOURNAL!F:F,"5",JOURNAL!D:D,"THURSDAY",JOURNAL!O:O,"OT -")</f>
        <v>0</v>
      </c>
      <c r="BF49" s="271"/>
      <c r="BG49" s="60" t="s">
        <v>34</v>
      </c>
      <c r="BH49" s="166">
        <f>COUNTIFS(JOURNAL!F:F,"5",JOURNAL!D:D,"FRIDAY",JOURNAL!O:O,"OT -")</f>
        <v>0</v>
      </c>
    </row>
    <row r="50" spans="45:60" ht="15.75" x14ac:dyDescent="0.25">
      <c r="AS50" s="273"/>
      <c r="AT50" s="271"/>
      <c r="AU50" s="25" t="s">
        <v>115</v>
      </c>
      <c r="AV50" s="166">
        <f>SUM(AV43:AV49)</f>
        <v>0</v>
      </c>
      <c r="AW50" s="271"/>
      <c r="AX50" s="25" t="s">
        <v>115</v>
      </c>
      <c r="AY50" s="166">
        <f>SUM(AY43:AY49)</f>
        <v>0</v>
      </c>
      <c r="AZ50" s="271"/>
      <c r="BA50" s="25" t="s">
        <v>115</v>
      </c>
      <c r="BB50" s="166">
        <f>SUM(BB43:BB49)</f>
        <v>0</v>
      </c>
      <c r="BC50" s="271"/>
      <c r="BD50" s="25" t="s">
        <v>115</v>
      </c>
      <c r="BE50" s="166">
        <f>SUM(BE43:BE49)</f>
        <v>0</v>
      </c>
      <c r="BF50" s="271"/>
      <c r="BG50" s="25" t="s">
        <v>115</v>
      </c>
      <c r="BH50" s="166">
        <f>SUM(BH43:BH49)</f>
        <v>0</v>
      </c>
    </row>
    <row r="51" spans="45:60" ht="15.75" x14ac:dyDescent="0.25">
      <c r="AS51" s="273"/>
      <c r="AT51" s="272"/>
      <c r="AU51" s="29" t="s">
        <v>44</v>
      </c>
      <c r="AV51" s="164" t="e">
        <f>SUM(AV43,AV45,AV46,AV48)/AV50</f>
        <v>#DIV/0!</v>
      </c>
      <c r="AW51" s="272"/>
      <c r="AX51" s="29" t="s">
        <v>44</v>
      </c>
      <c r="AY51" s="164" t="e">
        <f>SUM(AY43,AY45,AY46,AY48)/AY50</f>
        <v>#DIV/0!</v>
      </c>
      <c r="AZ51" s="272"/>
      <c r="BA51" s="29" t="s">
        <v>44</v>
      </c>
      <c r="BB51" s="164" t="e">
        <f>SUM(BB43,BB45,BB46,BB48)/BB50</f>
        <v>#DIV/0!</v>
      </c>
      <c r="BC51" s="272"/>
      <c r="BD51" s="29" t="s">
        <v>44</v>
      </c>
      <c r="BE51" s="164" t="e">
        <f>SUM(BE43,BE45,BE46,BE48)/BE50</f>
        <v>#DIV/0!</v>
      </c>
      <c r="BF51" s="272"/>
      <c r="BG51" s="29" t="s">
        <v>44</v>
      </c>
      <c r="BH51" s="164" t="e">
        <f>SUM(BH43,BH45,BH46,BH48)/BH50</f>
        <v>#DIV/0!</v>
      </c>
    </row>
    <row r="52" spans="45:60" x14ac:dyDescent="0.25"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</row>
    <row r="53" spans="45:60" ht="18.75" customHeight="1" x14ac:dyDescent="0.25">
      <c r="AS53" s="273" t="s">
        <v>73</v>
      </c>
      <c r="AT53" s="270" t="s">
        <v>50</v>
      </c>
      <c r="AU53" s="54" t="s">
        <v>27</v>
      </c>
      <c r="AV53" s="166">
        <f>COUNTIFS(JOURNAL!F:F,"6",JOURNAL!D:D,"MONDAY",JOURNAL!O:O,"TP")</f>
        <v>0</v>
      </c>
      <c r="AW53" s="270" t="s">
        <v>51</v>
      </c>
      <c r="AX53" s="54" t="s">
        <v>27</v>
      </c>
      <c r="AY53" s="166">
        <f>COUNTIFS(JOURNAL!F:F,"6",JOURNAL!D:D,"TUESDAY",JOURNAL!O:O,"TP")</f>
        <v>0</v>
      </c>
      <c r="AZ53" s="270" t="s">
        <v>52</v>
      </c>
      <c r="BA53" s="54" t="s">
        <v>27</v>
      </c>
      <c r="BB53" s="166">
        <f>COUNTIFS(JOURNAL!F:F,"6",JOURNAL!D:D,"WEDNESDAY",JOURNAL!O:O,"TP")</f>
        <v>0</v>
      </c>
      <c r="BC53" s="270" t="s">
        <v>53</v>
      </c>
      <c r="BD53" s="54" t="s">
        <v>27</v>
      </c>
      <c r="BE53" s="166">
        <f>COUNTIFS(JOURNAL!F:F,"6",JOURNAL!D:D,"THURSDAY",JOURNAL!O:O,"TP")</f>
        <v>0</v>
      </c>
      <c r="BF53" s="270" t="s">
        <v>54</v>
      </c>
      <c r="BG53" s="54" t="s">
        <v>27</v>
      </c>
      <c r="BH53" s="166">
        <f>COUNTIFS(JOURNAL!F:F,"6",JOURNAL!D:D,"FRIDAY",JOURNAL!O:O,"TP")</f>
        <v>0</v>
      </c>
    </row>
    <row r="54" spans="45:60" ht="15.75" x14ac:dyDescent="0.25">
      <c r="AS54" s="273"/>
      <c r="AT54" s="271"/>
      <c r="AU54" s="55" t="s">
        <v>29</v>
      </c>
      <c r="AV54" s="166">
        <f>COUNTIFS(JOURNAL!F:F,"6",JOURNAL!D:D,"MONDAY",JOURNAL!O:O,"SL")</f>
        <v>0</v>
      </c>
      <c r="AW54" s="271"/>
      <c r="AX54" s="55" t="s">
        <v>29</v>
      </c>
      <c r="AY54" s="166">
        <f>COUNTIFS(JOURNAL!F:F,"6",JOURNAL!D:D,"TUESDAY",JOURNAL!O:O,"SL")</f>
        <v>0</v>
      </c>
      <c r="AZ54" s="271"/>
      <c r="BA54" s="55" t="s">
        <v>29</v>
      </c>
      <c r="BB54" s="166">
        <f>COUNTIFS(JOURNAL!F:F,"6",JOURNAL!D:D,"WEDNESDAY",JOURNAL!O:O,"SL")</f>
        <v>0</v>
      </c>
      <c r="BC54" s="271"/>
      <c r="BD54" s="55" t="s">
        <v>29</v>
      </c>
      <c r="BE54" s="166">
        <f>COUNTIFS(JOURNAL!F:F,"6",JOURNAL!D:D,"THURSDAY",JOURNAL!O:O,"SL")</f>
        <v>0</v>
      </c>
      <c r="BF54" s="271"/>
      <c r="BG54" s="55" t="s">
        <v>29</v>
      </c>
      <c r="BH54" s="166">
        <f>COUNTIFS(JOURNAL!F:F,"6",JOURNAL!D:D,"FRIDAY",JOURNAL!O:O,"SL")</f>
        <v>0</v>
      </c>
    </row>
    <row r="55" spans="45:60" ht="15.75" x14ac:dyDescent="0.25">
      <c r="AS55" s="273"/>
      <c r="AT55" s="271"/>
      <c r="AU55" s="56" t="s">
        <v>32</v>
      </c>
      <c r="AV55" s="166">
        <f>COUNTIFS(JOURNAL!F:F,"6",JOURNAL!D:D,"MONDAY",JOURNAL!O:O,"RF")</f>
        <v>0</v>
      </c>
      <c r="AW55" s="271"/>
      <c r="AX55" s="56" t="s">
        <v>32</v>
      </c>
      <c r="AY55" s="166">
        <f>COUNTIFS(JOURNAL!F:F,"6",JOURNAL!D:D,"TUESDAY",JOURNAL!O:O,"RF")</f>
        <v>0</v>
      </c>
      <c r="AZ55" s="271"/>
      <c r="BA55" s="56" t="s">
        <v>32</v>
      </c>
      <c r="BB55" s="166">
        <f>COUNTIFS(JOURNAL!F:F,"6",JOURNAL!D:D,"WEDNESDAY",JOURNAL!O:O,"RF")</f>
        <v>0</v>
      </c>
      <c r="BC55" s="271"/>
      <c r="BD55" s="56" t="s">
        <v>32</v>
      </c>
      <c r="BE55" s="166">
        <f>COUNTIFS(JOURNAL!F:F,"6",JOURNAL!D:D,"THURSDAY",JOURNAL!O:O,"RF")</f>
        <v>0</v>
      </c>
      <c r="BF55" s="271"/>
      <c r="BG55" s="56" t="s">
        <v>32</v>
      </c>
      <c r="BH55" s="166">
        <f>COUNTIFS(JOURNAL!F:F,"6",JOURNAL!D:D,"FRIDAY",JOURNAL!O:O,"RF")</f>
        <v>0</v>
      </c>
    </row>
    <row r="56" spans="45:60" ht="15.75" customHeight="1" x14ac:dyDescent="0.25">
      <c r="AS56" s="273"/>
      <c r="AT56" s="271"/>
      <c r="AU56" s="57" t="s">
        <v>30</v>
      </c>
      <c r="AV56" s="166">
        <f>COUNTIFS(JOURNAL!F:F,"6",JOURNAL!D:D,"MONDAY",JOURNAL!O:O,"PS")</f>
        <v>0</v>
      </c>
      <c r="AW56" s="271"/>
      <c r="AX56" s="57" t="s">
        <v>30</v>
      </c>
      <c r="AY56" s="166">
        <f>COUNTIFS(JOURNAL!F:F,"6",JOURNAL!D:D,"TUESDAY",JOURNAL!O:O,"PS")</f>
        <v>0</v>
      </c>
      <c r="AZ56" s="271"/>
      <c r="BA56" s="57" t="s">
        <v>30</v>
      </c>
      <c r="BB56" s="166">
        <f>COUNTIFS(JOURNAL!F:F,"6",JOURNAL!D:D,"WEDNESDAY",JOURNAL!O:O,"PS")</f>
        <v>0</v>
      </c>
      <c r="BC56" s="271"/>
      <c r="BD56" s="57" t="s">
        <v>30</v>
      </c>
      <c r="BE56" s="166">
        <f>COUNTIFS(JOURNAL!F:F,"6",JOURNAL!D:D,"THURSDAY",JOURNAL!O:O,"PS")</f>
        <v>0</v>
      </c>
      <c r="BF56" s="271"/>
      <c r="BG56" s="57" t="s">
        <v>30</v>
      </c>
      <c r="BH56" s="166">
        <f>COUNTIFS(JOURNAL!F:F,"6",JOURNAL!D:D,"FRIDAY",JOURNAL!O:O,"PS")</f>
        <v>0</v>
      </c>
    </row>
    <row r="57" spans="45:60" ht="15.75" x14ac:dyDescent="0.25">
      <c r="AS57" s="273"/>
      <c r="AT57" s="271"/>
      <c r="AU57" s="58" t="s">
        <v>31</v>
      </c>
      <c r="AV57" s="166">
        <f>COUNTIFS(JOURNAL!F:F,"6",JOURNAL!D:D,"MONDAY",JOURNAL!O:O,"LS")</f>
        <v>0</v>
      </c>
      <c r="AW57" s="271"/>
      <c r="AX57" s="58" t="s">
        <v>31</v>
      </c>
      <c r="AY57" s="166">
        <f>COUNTIFS(JOURNAL!F:F,"6",JOURNAL!D:D,"TUESDAY",JOURNAL!O:O,"LS")</f>
        <v>0</v>
      </c>
      <c r="AZ57" s="271"/>
      <c r="BA57" s="58" t="s">
        <v>31</v>
      </c>
      <c r="BB57" s="166">
        <f>COUNTIFS(JOURNAL!F:F,"6",JOURNAL!D:D,"WEDNESDAY",JOURNAL!O:O,"LS")</f>
        <v>0</v>
      </c>
      <c r="BC57" s="271"/>
      <c r="BD57" s="58" t="s">
        <v>31</v>
      </c>
      <c r="BE57" s="166">
        <f>COUNTIFS(JOURNAL!F:F,"6",JOURNAL!D:D,"THURSDAY",JOURNAL!O:O,"LS")</f>
        <v>0</v>
      </c>
      <c r="BF57" s="271"/>
      <c r="BG57" s="58" t="s">
        <v>31</v>
      </c>
      <c r="BH57" s="166">
        <f>COUNTIFS(JOURNAL!F:F,"6",JOURNAL!D:D,"FRIDAY",JOURNAL!O:O,"LS")</f>
        <v>0</v>
      </c>
    </row>
    <row r="58" spans="45:60" ht="15.75" x14ac:dyDescent="0.25">
      <c r="AS58" s="273"/>
      <c r="AT58" s="271"/>
      <c r="AU58" s="59" t="s">
        <v>33</v>
      </c>
      <c r="AV58" s="166">
        <f>COUNTIFS(JOURNAL!F:F,"6",JOURNAL!D:D,"MONDAY",JOURNAL!O:O,"OT +")</f>
        <v>0</v>
      </c>
      <c r="AW58" s="271"/>
      <c r="AX58" s="59" t="s">
        <v>33</v>
      </c>
      <c r="AY58" s="166">
        <f>COUNTIFS(JOURNAL!F:F,"6",JOURNAL!D:D,"TUESDAY",JOURNAL!O:O,"OT +")</f>
        <v>0</v>
      </c>
      <c r="AZ58" s="271"/>
      <c r="BA58" s="59" t="s">
        <v>33</v>
      </c>
      <c r="BB58" s="166">
        <f>COUNTIFS(JOURNAL!F:F,"6",JOURNAL!D:D,"WEDNESDAY",JOURNAL!O:O,"OT +")</f>
        <v>0</v>
      </c>
      <c r="BC58" s="271"/>
      <c r="BD58" s="59" t="s">
        <v>33</v>
      </c>
      <c r="BE58" s="166">
        <f>COUNTIFS(JOURNAL!F:F,"6",JOURNAL!D:D,"THURSDAY",JOURNAL!O:O,"OT +")</f>
        <v>0</v>
      </c>
      <c r="BF58" s="271"/>
      <c r="BG58" s="59" t="s">
        <v>33</v>
      </c>
      <c r="BH58" s="166">
        <f>COUNTIFS(JOURNAL!F:F,"6",JOURNAL!D:D,"FRIDAY",JOURNAL!O:O,"OT +")</f>
        <v>0</v>
      </c>
    </row>
    <row r="59" spans="45:60" ht="15.75" x14ac:dyDescent="0.25">
      <c r="AS59" s="273"/>
      <c r="AT59" s="271"/>
      <c r="AU59" s="60" t="s">
        <v>34</v>
      </c>
      <c r="AV59" s="166">
        <f>COUNTIFS(JOURNAL!F:F,"6",JOURNAL!D:D,"MONDAY",JOURNAL!O:O,"OT -")</f>
        <v>0</v>
      </c>
      <c r="AW59" s="271"/>
      <c r="AX59" s="60" t="s">
        <v>34</v>
      </c>
      <c r="AY59" s="166">
        <f>COUNTIFS(JOURNAL!F:F,"6",JOURNAL!D:D,"TUESDAY",JOURNAL!O:O,"OT -")</f>
        <v>0</v>
      </c>
      <c r="AZ59" s="271"/>
      <c r="BA59" s="60" t="s">
        <v>34</v>
      </c>
      <c r="BB59" s="166">
        <f>COUNTIFS(JOURNAL!F:F,"6",JOURNAL!D:D,"WEDNESDAY",JOURNAL!O:O,"OT -")</f>
        <v>0</v>
      </c>
      <c r="BC59" s="271"/>
      <c r="BD59" s="60" t="s">
        <v>34</v>
      </c>
      <c r="BE59" s="166">
        <f>COUNTIFS(JOURNAL!F:F,"6",JOURNAL!D:D,"THURSDAY",JOURNAL!O:O,"OT -")</f>
        <v>0</v>
      </c>
      <c r="BF59" s="271"/>
      <c r="BG59" s="60" t="s">
        <v>34</v>
      </c>
      <c r="BH59" s="166">
        <f>COUNTIFS(JOURNAL!F:F,"6",JOURNAL!D:D,"FRIDAY",JOURNAL!O:O,"OT -")</f>
        <v>0</v>
      </c>
    </row>
    <row r="60" spans="45:60" ht="15.75" x14ac:dyDescent="0.25">
      <c r="AS60" s="273"/>
      <c r="AT60" s="271"/>
      <c r="AU60" s="25" t="s">
        <v>115</v>
      </c>
      <c r="AV60" s="166">
        <f>SUM(AV53:AV59)</f>
        <v>0</v>
      </c>
      <c r="AW60" s="271"/>
      <c r="AX60" s="25" t="s">
        <v>115</v>
      </c>
      <c r="AY60" s="166">
        <f>SUM(AY53:AY59)</f>
        <v>0</v>
      </c>
      <c r="AZ60" s="271"/>
      <c r="BA60" s="25" t="s">
        <v>115</v>
      </c>
      <c r="BB60" s="166">
        <f>SUM(BB53:BB59)</f>
        <v>0</v>
      </c>
      <c r="BC60" s="271"/>
      <c r="BD60" s="25" t="s">
        <v>115</v>
      </c>
      <c r="BE60" s="166">
        <f>SUM(BE53:BE59)</f>
        <v>0</v>
      </c>
      <c r="BF60" s="271"/>
      <c r="BG60" s="25" t="s">
        <v>115</v>
      </c>
      <c r="BH60" s="166">
        <f>SUM(BH53:BH59)</f>
        <v>0</v>
      </c>
    </row>
    <row r="61" spans="45:60" ht="15.75" x14ac:dyDescent="0.25">
      <c r="AS61" s="273"/>
      <c r="AT61" s="272"/>
      <c r="AU61" s="29" t="s">
        <v>44</v>
      </c>
      <c r="AV61" s="164" t="e">
        <f>SUM(AV53,AV55,AV56,AV58)/AV60</f>
        <v>#DIV/0!</v>
      </c>
      <c r="AW61" s="272"/>
      <c r="AX61" s="29" t="s">
        <v>44</v>
      </c>
      <c r="AY61" s="164" t="e">
        <f>SUM(AY53,AY55,AY56,AY58)/AY60</f>
        <v>#DIV/0!</v>
      </c>
      <c r="AZ61" s="272"/>
      <c r="BA61" s="29" t="s">
        <v>44</v>
      </c>
      <c r="BB61" s="164" t="e">
        <f>SUM(BB53,BB55,BB56,BB58)/BB60</f>
        <v>#DIV/0!</v>
      </c>
      <c r="BC61" s="272"/>
      <c r="BD61" s="29" t="s">
        <v>44</v>
      </c>
      <c r="BE61" s="164" t="e">
        <f>SUM(BE53,BE55,BE56,BE58)/BE60</f>
        <v>#DIV/0!</v>
      </c>
      <c r="BF61" s="272"/>
      <c r="BG61" s="29" t="s">
        <v>44</v>
      </c>
      <c r="BH61" s="164" t="e">
        <f>SUM(BH53,BH55,BH56,BH58)/BH60</f>
        <v>#DIV/0!</v>
      </c>
    </row>
    <row r="62" spans="45:60" x14ac:dyDescent="0.25"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</row>
    <row r="63" spans="45:60" ht="15.75" customHeight="1" x14ac:dyDescent="0.25">
      <c r="AS63" s="273" t="s">
        <v>74</v>
      </c>
      <c r="AT63" s="270" t="s">
        <v>50</v>
      </c>
      <c r="AU63" s="54" t="s">
        <v>27</v>
      </c>
      <c r="AV63" s="166">
        <f>COUNTIFS(JOURNAL!F:F,"7",JOURNAL!D:D,"MONDAY",JOURNAL!O:O,"TP")</f>
        <v>0</v>
      </c>
      <c r="AW63" s="270" t="s">
        <v>51</v>
      </c>
      <c r="AX63" s="54" t="s">
        <v>27</v>
      </c>
      <c r="AY63" s="166">
        <f>COUNTIFS(JOURNAL!F:F,"7",JOURNAL!D:D,"TUESDAY",JOURNAL!O:O,"TP")</f>
        <v>0</v>
      </c>
      <c r="AZ63" s="270" t="s">
        <v>52</v>
      </c>
      <c r="BA63" s="54" t="s">
        <v>27</v>
      </c>
      <c r="BB63" s="166">
        <f>COUNTIFS(JOURNAL!F:F,"7",JOURNAL!D:D,"WEDNESDAY",JOURNAL!O:O,"TP")</f>
        <v>0</v>
      </c>
      <c r="BC63" s="270" t="s">
        <v>53</v>
      </c>
      <c r="BD63" s="54" t="s">
        <v>27</v>
      </c>
      <c r="BE63" s="166">
        <f>COUNTIFS(JOURNAL!F:F,"7",JOURNAL!D:D,"THURSDAY",JOURNAL!O:O,"TP")</f>
        <v>0</v>
      </c>
      <c r="BF63" s="270" t="s">
        <v>54</v>
      </c>
      <c r="BG63" s="54" t="s">
        <v>27</v>
      </c>
      <c r="BH63" s="166">
        <f>COUNTIFS(JOURNAL!F:F,"7",JOURNAL!D:D,"FRIDAY",JOURNAL!O:O,"TP")</f>
        <v>0</v>
      </c>
    </row>
    <row r="64" spans="45:60" ht="15.75" x14ac:dyDescent="0.25">
      <c r="AS64" s="273"/>
      <c r="AT64" s="271"/>
      <c r="AU64" s="55" t="s">
        <v>29</v>
      </c>
      <c r="AV64" s="166">
        <f>COUNTIFS(JOURNAL!F:F,"7",JOURNAL!D:D,"MONDAY",JOURNAL!O:O,"SL")</f>
        <v>0</v>
      </c>
      <c r="AW64" s="271"/>
      <c r="AX64" s="55" t="s">
        <v>29</v>
      </c>
      <c r="AY64" s="166">
        <f>COUNTIFS(JOURNAL!F:F,"7",JOURNAL!D:D,"TUESDAY",JOURNAL!O:O,"SL")</f>
        <v>0</v>
      </c>
      <c r="AZ64" s="271"/>
      <c r="BA64" s="55" t="s">
        <v>29</v>
      </c>
      <c r="BB64" s="166">
        <f>COUNTIFS(JOURNAL!F:F,"7",JOURNAL!D:D,"WEDNESDAY",JOURNAL!O:O,"SL")</f>
        <v>0</v>
      </c>
      <c r="BC64" s="271"/>
      <c r="BD64" s="55" t="s">
        <v>29</v>
      </c>
      <c r="BE64" s="166">
        <f>COUNTIFS(JOURNAL!F:F,"7",JOURNAL!D:D,"THURSDAY",JOURNAL!O:O,"SL")</f>
        <v>0</v>
      </c>
      <c r="BF64" s="271"/>
      <c r="BG64" s="55" t="s">
        <v>29</v>
      </c>
      <c r="BH64" s="166">
        <f>COUNTIFS(JOURNAL!F:F,"7",JOURNAL!D:D,"FRIDAY",JOURNAL!O:O,"SL")</f>
        <v>0</v>
      </c>
    </row>
    <row r="65" spans="45:60" ht="15.75" x14ac:dyDescent="0.25">
      <c r="AS65" s="273"/>
      <c r="AT65" s="271"/>
      <c r="AU65" s="56" t="s">
        <v>32</v>
      </c>
      <c r="AV65" s="166">
        <f>COUNTIFS(JOURNAL!F:F,"7",JOURNAL!D:D,"MONDAY",JOURNAL!O:O,"RF")</f>
        <v>0</v>
      </c>
      <c r="AW65" s="271"/>
      <c r="AX65" s="56" t="s">
        <v>32</v>
      </c>
      <c r="AY65" s="166">
        <f>COUNTIFS(JOURNAL!F:F,"7",JOURNAL!D:D,"TUESDAY",JOURNAL!O:O,"RF")</f>
        <v>0</v>
      </c>
      <c r="AZ65" s="271"/>
      <c r="BA65" s="56" t="s">
        <v>32</v>
      </c>
      <c r="BB65" s="166">
        <f>COUNTIFS(JOURNAL!F:F,"7",JOURNAL!D:D,"WEDNESDAY",JOURNAL!O:O,"RF")</f>
        <v>0</v>
      </c>
      <c r="BC65" s="271"/>
      <c r="BD65" s="56" t="s">
        <v>32</v>
      </c>
      <c r="BE65" s="166">
        <f>COUNTIFS(JOURNAL!F:F,"7",JOURNAL!D:D,"THURSDAY",JOURNAL!O:O,"RF")</f>
        <v>0</v>
      </c>
      <c r="BF65" s="271"/>
      <c r="BG65" s="56" t="s">
        <v>32</v>
      </c>
      <c r="BH65" s="166">
        <f>COUNTIFS(JOURNAL!F:F,"7",JOURNAL!D:D,"FRIDAY",JOURNAL!O:O,"RF")</f>
        <v>0</v>
      </c>
    </row>
    <row r="66" spans="45:60" ht="15.75" x14ac:dyDescent="0.25">
      <c r="AS66" s="273"/>
      <c r="AT66" s="271"/>
      <c r="AU66" s="57" t="s">
        <v>30</v>
      </c>
      <c r="AV66" s="166">
        <f>COUNTIFS(JOURNAL!F:F,"7",JOURNAL!D:D,"MONDAY",JOURNAL!O:O,"PS")</f>
        <v>0</v>
      </c>
      <c r="AW66" s="271"/>
      <c r="AX66" s="57" t="s">
        <v>30</v>
      </c>
      <c r="AY66" s="166">
        <f>COUNTIFS(JOURNAL!F:F,"7",JOURNAL!D:D,"TUESDAY",JOURNAL!O:O,"PS")</f>
        <v>0</v>
      </c>
      <c r="AZ66" s="271"/>
      <c r="BA66" s="57" t="s">
        <v>30</v>
      </c>
      <c r="BB66" s="166">
        <f>COUNTIFS(JOURNAL!F:F,"7",JOURNAL!D:D,"WEDNESDAY",JOURNAL!O:O,"PS")</f>
        <v>0</v>
      </c>
      <c r="BC66" s="271"/>
      <c r="BD66" s="57" t="s">
        <v>30</v>
      </c>
      <c r="BE66" s="166">
        <f>COUNTIFS(JOURNAL!F:F,"7",JOURNAL!D:D,"THURSDAY",JOURNAL!O:O,"PS")</f>
        <v>0</v>
      </c>
      <c r="BF66" s="271"/>
      <c r="BG66" s="57" t="s">
        <v>30</v>
      </c>
      <c r="BH66" s="166">
        <f>COUNTIFS(JOURNAL!F:F,"7",JOURNAL!D:D,"FRIDAY",JOURNAL!O:O,"PS")</f>
        <v>0</v>
      </c>
    </row>
    <row r="67" spans="45:60" ht="15.75" x14ac:dyDescent="0.25">
      <c r="AS67" s="273"/>
      <c r="AT67" s="271"/>
      <c r="AU67" s="58" t="s">
        <v>31</v>
      </c>
      <c r="AV67" s="166">
        <f>COUNTIFS(JOURNAL!F:F,"7",JOURNAL!D:D,"MONDAY",JOURNAL!O:O,"LS")</f>
        <v>0</v>
      </c>
      <c r="AW67" s="271"/>
      <c r="AX67" s="58" t="s">
        <v>31</v>
      </c>
      <c r="AY67" s="166">
        <f>COUNTIFS(JOURNAL!F:F,"7",JOURNAL!D:D,"TUESDAY",JOURNAL!O:O,"LS")</f>
        <v>0</v>
      </c>
      <c r="AZ67" s="271"/>
      <c r="BA67" s="58" t="s">
        <v>31</v>
      </c>
      <c r="BB67" s="166">
        <f>COUNTIFS(JOURNAL!F:F,"7",JOURNAL!D:D,"WEDNESDAY",JOURNAL!O:O,"LS")</f>
        <v>0</v>
      </c>
      <c r="BC67" s="271"/>
      <c r="BD67" s="58" t="s">
        <v>31</v>
      </c>
      <c r="BE67" s="166">
        <f>COUNTIFS(JOURNAL!F:F,"7",JOURNAL!D:D,"THURSDAY",JOURNAL!O:O,"LS")</f>
        <v>0</v>
      </c>
      <c r="BF67" s="271"/>
      <c r="BG67" s="58" t="s">
        <v>31</v>
      </c>
      <c r="BH67" s="166">
        <f>COUNTIFS(JOURNAL!F:F,"7",JOURNAL!D:D,"FRIDAY",JOURNAL!O:O,"LS")</f>
        <v>0</v>
      </c>
    </row>
    <row r="68" spans="45:60" ht="15.75" x14ac:dyDescent="0.25">
      <c r="AS68" s="273"/>
      <c r="AT68" s="271"/>
      <c r="AU68" s="59" t="s">
        <v>33</v>
      </c>
      <c r="AV68" s="166">
        <f>COUNTIFS(JOURNAL!F:F,"7",JOURNAL!D:D,"MONDAY",JOURNAL!O:O,"OT +")</f>
        <v>0</v>
      </c>
      <c r="AW68" s="271"/>
      <c r="AX68" s="59" t="s">
        <v>33</v>
      </c>
      <c r="AY68" s="166">
        <f>COUNTIFS(JOURNAL!F:F,"7",JOURNAL!D:D,"TUESDAY",JOURNAL!O:O,"OT +")</f>
        <v>0</v>
      </c>
      <c r="AZ68" s="271"/>
      <c r="BA68" s="59" t="s">
        <v>33</v>
      </c>
      <c r="BB68" s="166">
        <f>COUNTIFS(JOURNAL!F:F,"7",JOURNAL!D:D,"WEDNESDAY",JOURNAL!O:O,"OT +")</f>
        <v>0</v>
      </c>
      <c r="BC68" s="271"/>
      <c r="BD68" s="59" t="s">
        <v>33</v>
      </c>
      <c r="BE68" s="166">
        <f>COUNTIFS(JOURNAL!F:F,"7",JOURNAL!D:D,"THURSDAY",JOURNAL!O:O,"OT +")</f>
        <v>0</v>
      </c>
      <c r="BF68" s="271"/>
      <c r="BG68" s="59" t="s">
        <v>33</v>
      </c>
      <c r="BH68" s="166">
        <f>COUNTIFS(JOURNAL!F:F,"7",JOURNAL!D:D,"FRIDAY",JOURNAL!O:O,"OT +")</f>
        <v>0</v>
      </c>
    </row>
    <row r="69" spans="45:60" ht="15.75" x14ac:dyDescent="0.25">
      <c r="AS69" s="273"/>
      <c r="AT69" s="271"/>
      <c r="AU69" s="60" t="s">
        <v>34</v>
      </c>
      <c r="AV69" s="166">
        <f>COUNTIFS(JOURNAL!F:F,"7",JOURNAL!D:D,"MONDAY",JOURNAL!O:O,"OT -")</f>
        <v>0</v>
      </c>
      <c r="AW69" s="271"/>
      <c r="AX69" s="60" t="s">
        <v>34</v>
      </c>
      <c r="AY69" s="166">
        <f>COUNTIFS(JOURNAL!F:F,"7",JOURNAL!D:D,"TUESDAY",JOURNAL!O:O,"OT -")</f>
        <v>0</v>
      </c>
      <c r="AZ69" s="271"/>
      <c r="BA69" s="60" t="s">
        <v>34</v>
      </c>
      <c r="BB69" s="166">
        <f>COUNTIFS(JOURNAL!F:F,"7",JOURNAL!D:D,"WEDNESDAY",JOURNAL!O:O,"OT -")</f>
        <v>0</v>
      </c>
      <c r="BC69" s="271"/>
      <c r="BD69" s="60" t="s">
        <v>34</v>
      </c>
      <c r="BE69" s="166">
        <f>COUNTIFS(JOURNAL!F:F,"7",JOURNAL!D:D,"THURSDAY",JOURNAL!O:O,"OT -")</f>
        <v>0</v>
      </c>
      <c r="BF69" s="271"/>
      <c r="BG69" s="60" t="s">
        <v>34</v>
      </c>
      <c r="BH69" s="166">
        <f>COUNTIFS(JOURNAL!F:F,"7",JOURNAL!D:D,"FRIDAY",JOURNAL!O:O,"OT -")</f>
        <v>0</v>
      </c>
    </row>
    <row r="70" spans="45:60" ht="18.75" customHeight="1" x14ac:dyDescent="0.25">
      <c r="AS70" s="273"/>
      <c r="AT70" s="271"/>
      <c r="AU70" s="25" t="s">
        <v>115</v>
      </c>
      <c r="AV70" s="166">
        <f>SUM(AV63:AV69)</f>
        <v>0</v>
      </c>
      <c r="AW70" s="271"/>
      <c r="AX70" s="25" t="s">
        <v>115</v>
      </c>
      <c r="AY70" s="166">
        <f>SUM(AY63:AY69)</f>
        <v>0</v>
      </c>
      <c r="AZ70" s="271"/>
      <c r="BA70" s="25" t="s">
        <v>115</v>
      </c>
      <c r="BB70" s="166">
        <f>SUM(BB63:BB69)</f>
        <v>0</v>
      </c>
      <c r="BC70" s="271"/>
      <c r="BD70" s="25" t="s">
        <v>115</v>
      </c>
      <c r="BE70" s="166">
        <f>SUM(BE63:BE69)</f>
        <v>0</v>
      </c>
      <c r="BF70" s="271"/>
      <c r="BG70" s="25" t="s">
        <v>115</v>
      </c>
      <c r="BH70" s="166">
        <f>SUM(BH63:BH69)</f>
        <v>0</v>
      </c>
    </row>
    <row r="71" spans="45:60" ht="15.75" x14ac:dyDescent="0.25">
      <c r="AS71" s="273"/>
      <c r="AT71" s="272"/>
      <c r="AU71" s="29" t="s">
        <v>44</v>
      </c>
      <c r="AV71" s="164" t="e">
        <f>SUM(AV63,AV65,AV66,AV68)/AV70</f>
        <v>#DIV/0!</v>
      </c>
      <c r="AW71" s="272"/>
      <c r="AX71" s="29" t="s">
        <v>44</v>
      </c>
      <c r="AY71" s="164" t="e">
        <f>SUM(AY63,AY65,AY66,AY68)/AY70</f>
        <v>#DIV/0!</v>
      </c>
      <c r="AZ71" s="272"/>
      <c r="BA71" s="29" t="s">
        <v>44</v>
      </c>
      <c r="BB71" s="164" t="e">
        <f>SUM(BB63,BB65,BB66,BB68)/BB70</f>
        <v>#DIV/0!</v>
      </c>
      <c r="BC71" s="272"/>
      <c r="BD71" s="29" t="s">
        <v>44</v>
      </c>
      <c r="BE71" s="164" t="e">
        <f>SUM(BE63,BE65,BE66,BE68)/BE70</f>
        <v>#DIV/0!</v>
      </c>
      <c r="BF71" s="272"/>
      <c r="BG71" s="29" t="s">
        <v>44</v>
      </c>
      <c r="BH71" s="164" t="e">
        <f>SUM(BH63,BH65,BH66,BH68)/BH70</f>
        <v>#DIV/0!</v>
      </c>
    </row>
    <row r="72" spans="45:60" x14ac:dyDescent="0.25"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</row>
    <row r="73" spans="45:60" ht="17.25" customHeight="1" x14ac:dyDescent="0.25">
      <c r="AS73" s="273" t="s">
        <v>75</v>
      </c>
      <c r="AT73" s="270" t="s">
        <v>50</v>
      </c>
      <c r="AU73" s="54" t="s">
        <v>27</v>
      </c>
      <c r="AV73" s="166">
        <f>COUNTIFS(JOURNAL!F:F,"8",JOURNAL!D:D,"MONDAY",JOURNAL!O:O,"TP")</f>
        <v>0</v>
      </c>
      <c r="AW73" s="270" t="s">
        <v>51</v>
      </c>
      <c r="AX73" s="54" t="s">
        <v>27</v>
      </c>
      <c r="AY73" s="166">
        <f>COUNTIFS(JOURNAL!F:F,"8",JOURNAL!D:D,"TUESDAY",JOURNAL!O:O,"TP")</f>
        <v>0</v>
      </c>
      <c r="AZ73" s="270" t="s">
        <v>52</v>
      </c>
      <c r="BA73" s="54" t="s">
        <v>27</v>
      </c>
      <c r="BB73" s="166">
        <f>COUNTIFS(JOURNAL!F:F,"8",JOURNAL!D:D,"WEDNESDAY",JOURNAL!O:O,"TP")</f>
        <v>0</v>
      </c>
      <c r="BC73" s="270" t="s">
        <v>53</v>
      </c>
      <c r="BD73" s="54" t="s">
        <v>27</v>
      </c>
      <c r="BE73" s="166">
        <f>COUNTIFS(JOURNAL!F:F,"8",JOURNAL!D:D,"THURSDAY",JOURNAL!O:O,"TP")</f>
        <v>0</v>
      </c>
      <c r="BF73" s="270" t="s">
        <v>54</v>
      </c>
      <c r="BG73" s="54" t="s">
        <v>27</v>
      </c>
      <c r="BH73" s="166">
        <f>COUNTIFS(JOURNAL!F:F,"8",JOURNAL!D:D,"FRIDAY",JOURNAL!O:O,"TP")</f>
        <v>0</v>
      </c>
    </row>
    <row r="74" spans="45:60" ht="15.75" x14ac:dyDescent="0.25">
      <c r="AS74" s="273"/>
      <c r="AT74" s="271"/>
      <c r="AU74" s="55" t="s">
        <v>29</v>
      </c>
      <c r="AV74" s="166">
        <f>COUNTIFS(JOURNAL!F:F,"8",JOURNAL!D:D,"MONDAY",JOURNAL!O:O,"SL")</f>
        <v>0</v>
      </c>
      <c r="AW74" s="271"/>
      <c r="AX74" s="55" t="s">
        <v>29</v>
      </c>
      <c r="AY74" s="166">
        <f>COUNTIFS(JOURNAL!F:F,"8",JOURNAL!D:D,"TUESDAY",JOURNAL!O:O,"SL")</f>
        <v>0</v>
      </c>
      <c r="AZ74" s="271"/>
      <c r="BA74" s="55" t="s">
        <v>29</v>
      </c>
      <c r="BB74" s="166">
        <f>COUNTIFS(JOURNAL!F:F,"8",JOURNAL!D:D,"WEDNESDAY",JOURNAL!O:O,"SL")</f>
        <v>0</v>
      </c>
      <c r="BC74" s="271"/>
      <c r="BD74" s="55" t="s">
        <v>29</v>
      </c>
      <c r="BE74" s="166">
        <f>COUNTIFS(JOURNAL!F:F,"8",JOURNAL!D:D,"THURSDAY",JOURNAL!O:O,"SL")</f>
        <v>0</v>
      </c>
      <c r="BF74" s="271"/>
      <c r="BG74" s="55" t="s">
        <v>29</v>
      </c>
      <c r="BH74" s="166">
        <f>COUNTIFS(JOURNAL!F:F,"8",JOURNAL!D:D,"FRIDAY",JOURNAL!O:O,"SL")</f>
        <v>0</v>
      </c>
    </row>
    <row r="75" spans="45:60" ht="15.75" x14ac:dyDescent="0.25">
      <c r="AS75" s="273"/>
      <c r="AT75" s="271"/>
      <c r="AU75" s="56" t="s">
        <v>32</v>
      </c>
      <c r="AV75" s="166">
        <f>COUNTIFS(JOURNAL!F:F,"8",JOURNAL!D:D,"MONDAY",JOURNAL!O:O,"RF")</f>
        <v>0</v>
      </c>
      <c r="AW75" s="271"/>
      <c r="AX75" s="56" t="s">
        <v>32</v>
      </c>
      <c r="AY75" s="166">
        <f>COUNTIFS(JOURNAL!F:F,"8",JOURNAL!D:D,"TUESDAY",JOURNAL!O:O,"RF")</f>
        <v>0</v>
      </c>
      <c r="AZ75" s="271"/>
      <c r="BA75" s="56" t="s">
        <v>32</v>
      </c>
      <c r="BB75" s="166">
        <f>COUNTIFS(JOURNAL!F:F,"8",JOURNAL!D:D,"WEDNESDAY",JOURNAL!O:O,"RF")</f>
        <v>0</v>
      </c>
      <c r="BC75" s="271"/>
      <c r="BD75" s="56" t="s">
        <v>32</v>
      </c>
      <c r="BE75" s="166">
        <f>COUNTIFS(JOURNAL!F:F,"8",JOURNAL!D:D,"THURSDAY",JOURNAL!O:O,"RF")</f>
        <v>0</v>
      </c>
      <c r="BF75" s="271"/>
      <c r="BG75" s="56" t="s">
        <v>32</v>
      </c>
      <c r="BH75" s="166">
        <f>COUNTIFS(JOURNAL!F:F,"8",JOURNAL!D:D,"FRIDAY",JOURNAL!O:O,"RF")</f>
        <v>0</v>
      </c>
    </row>
    <row r="76" spans="45:60" ht="15.75" x14ac:dyDescent="0.25">
      <c r="AS76" s="273"/>
      <c r="AT76" s="271"/>
      <c r="AU76" s="57" t="s">
        <v>30</v>
      </c>
      <c r="AV76" s="166">
        <f>COUNTIFS(JOURNAL!F:F,"8",JOURNAL!D:D,"MONDAY",JOURNAL!O:O,"PS")</f>
        <v>0</v>
      </c>
      <c r="AW76" s="271"/>
      <c r="AX76" s="57" t="s">
        <v>30</v>
      </c>
      <c r="AY76" s="166">
        <f>COUNTIFS(JOURNAL!F:F,"8",JOURNAL!D:D,"TUESDAY",JOURNAL!O:O,"PS")</f>
        <v>0</v>
      </c>
      <c r="AZ76" s="271"/>
      <c r="BA76" s="57" t="s">
        <v>30</v>
      </c>
      <c r="BB76" s="166">
        <f>COUNTIFS(JOURNAL!F:F,"8",JOURNAL!D:D,"WEDNESDAY",JOURNAL!O:O,"PS")</f>
        <v>0</v>
      </c>
      <c r="BC76" s="271"/>
      <c r="BD76" s="57" t="s">
        <v>30</v>
      </c>
      <c r="BE76" s="166">
        <f>COUNTIFS(JOURNAL!F:F,"8",JOURNAL!D:D,"THURSDAY",JOURNAL!O:O,"PS")</f>
        <v>0</v>
      </c>
      <c r="BF76" s="271"/>
      <c r="BG76" s="57" t="s">
        <v>30</v>
      </c>
      <c r="BH76" s="166">
        <f>COUNTIFS(JOURNAL!F:F,"8",JOURNAL!D:D,"FRIDAY",JOURNAL!O:O,"PS")</f>
        <v>0</v>
      </c>
    </row>
    <row r="77" spans="45:60" ht="15.75" x14ac:dyDescent="0.25">
      <c r="AS77" s="273"/>
      <c r="AT77" s="271"/>
      <c r="AU77" s="58" t="s">
        <v>31</v>
      </c>
      <c r="AV77" s="166">
        <f>COUNTIFS(JOURNAL!F:F,"8",JOURNAL!D:D,"MONDAY",JOURNAL!O:O,"LS")</f>
        <v>0</v>
      </c>
      <c r="AW77" s="271"/>
      <c r="AX77" s="58" t="s">
        <v>31</v>
      </c>
      <c r="AY77" s="166">
        <f>COUNTIFS(JOURNAL!F:F,"8",JOURNAL!D:D,"TUESDAY",JOURNAL!O:O,"LS")</f>
        <v>0</v>
      </c>
      <c r="AZ77" s="271"/>
      <c r="BA77" s="58" t="s">
        <v>31</v>
      </c>
      <c r="BB77" s="166">
        <f>COUNTIFS(JOURNAL!F:F,"8",JOURNAL!D:D,"WEDNESDAY",JOURNAL!O:O,"LS")</f>
        <v>0</v>
      </c>
      <c r="BC77" s="271"/>
      <c r="BD77" s="58" t="s">
        <v>31</v>
      </c>
      <c r="BE77" s="166">
        <f>COUNTIFS(JOURNAL!F:F,"8",JOURNAL!D:D,"THURSDAY",JOURNAL!O:O,"LS")</f>
        <v>0</v>
      </c>
      <c r="BF77" s="271"/>
      <c r="BG77" s="58" t="s">
        <v>31</v>
      </c>
      <c r="BH77" s="166">
        <f>COUNTIFS(JOURNAL!F:F,"8",JOURNAL!D:D,"FRIDAY",JOURNAL!O:O,"LS")</f>
        <v>0</v>
      </c>
    </row>
    <row r="78" spans="45:60" ht="15.75" x14ac:dyDescent="0.25">
      <c r="AS78" s="273"/>
      <c r="AT78" s="271"/>
      <c r="AU78" s="59" t="s">
        <v>33</v>
      </c>
      <c r="AV78" s="166">
        <f>COUNTIFS(JOURNAL!F:F,"8",JOURNAL!D:D,"MONDAY",JOURNAL!O:O,"OT +")</f>
        <v>0</v>
      </c>
      <c r="AW78" s="271"/>
      <c r="AX78" s="59" t="s">
        <v>33</v>
      </c>
      <c r="AY78" s="166">
        <f>COUNTIFS(JOURNAL!F:F,"8",JOURNAL!D:D,"TUESDAY",JOURNAL!O:O,"OT +")</f>
        <v>0</v>
      </c>
      <c r="AZ78" s="271"/>
      <c r="BA78" s="59" t="s">
        <v>33</v>
      </c>
      <c r="BB78" s="166">
        <f>COUNTIFS(JOURNAL!F:F,"8",JOURNAL!D:D,"WEDNESDAY",JOURNAL!O:O,"OT +")</f>
        <v>0</v>
      </c>
      <c r="BC78" s="271"/>
      <c r="BD78" s="59" t="s">
        <v>33</v>
      </c>
      <c r="BE78" s="166">
        <f>COUNTIFS(JOURNAL!F:F,"8",JOURNAL!D:D,"THURSDAY",JOURNAL!O:O,"OT +")</f>
        <v>0</v>
      </c>
      <c r="BF78" s="271"/>
      <c r="BG78" s="59" t="s">
        <v>33</v>
      </c>
      <c r="BH78" s="166">
        <f>COUNTIFS(JOURNAL!F:F,"8",JOURNAL!D:D,"FRIDAY",JOURNAL!O:O,"OT +")</f>
        <v>0</v>
      </c>
    </row>
    <row r="79" spans="45:60" ht="15.75" x14ac:dyDescent="0.25">
      <c r="AS79" s="273"/>
      <c r="AT79" s="271"/>
      <c r="AU79" s="60" t="s">
        <v>34</v>
      </c>
      <c r="AV79" s="166">
        <f>COUNTIFS(JOURNAL!F:F,"8",JOURNAL!D:D,"MONDAY",JOURNAL!O:O,"OT -")</f>
        <v>0</v>
      </c>
      <c r="AW79" s="271"/>
      <c r="AX79" s="60" t="s">
        <v>34</v>
      </c>
      <c r="AY79" s="166">
        <f>COUNTIFS(JOURNAL!F:F,"8",JOURNAL!D:D,"TUESDAY",JOURNAL!O:O,"OT -")</f>
        <v>0</v>
      </c>
      <c r="AZ79" s="271"/>
      <c r="BA79" s="60" t="s">
        <v>34</v>
      </c>
      <c r="BB79" s="166">
        <f>COUNTIFS(JOURNAL!F:F,"8",JOURNAL!D:D,"WEDNESDAY",JOURNAL!O:O,"OT -")</f>
        <v>0</v>
      </c>
      <c r="BC79" s="271"/>
      <c r="BD79" s="60" t="s">
        <v>34</v>
      </c>
      <c r="BE79" s="166">
        <f>COUNTIFS(JOURNAL!F:F,"8",JOURNAL!D:D,"THURSDAY",JOURNAL!O:O,"OT -")</f>
        <v>0</v>
      </c>
      <c r="BF79" s="271"/>
      <c r="BG79" s="60" t="s">
        <v>34</v>
      </c>
      <c r="BH79" s="166">
        <f>COUNTIFS(JOURNAL!F:F,"8",JOURNAL!D:D,"FRIDAY",JOURNAL!O:O,"OT -")</f>
        <v>0</v>
      </c>
    </row>
    <row r="80" spans="45:60" ht="15.75" x14ac:dyDescent="0.25">
      <c r="AS80" s="273"/>
      <c r="AT80" s="271"/>
      <c r="AU80" s="25" t="s">
        <v>115</v>
      </c>
      <c r="AV80" s="166">
        <f>SUM(AV73:AV79)</f>
        <v>0</v>
      </c>
      <c r="AW80" s="271"/>
      <c r="AX80" s="25" t="s">
        <v>115</v>
      </c>
      <c r="AY80" s="166">
        <f>SUM(AY73:AY79)</f>
        <v>0</v>
      </c>
      <c r="AZ80" s="271"/>
      <c r="BA80" s="25" t="s">
        <v>115</v>
      </c>
      <c r="BB80" s="166">
        <f>SUM(BB73:BB79)</f>
        <v>0</v>
      </c>
      <c r="BC80" s="271"/>
      <c r="BD80" s="25" t="s">
        <v>115</v>
      </c>
      <c r="BE80" s="166">
        <f>SUM(BE73:BE79)</f>
        <v>0</v>
      </c>
      <c r="BF80" s="271"/>
      <c r="BG80" s="25" t="s">
        <v>115</v>
      </c>
      <c r="BH80" s="166">
        <f>SUM(BH73:BH79)</f>
        <v>0</v>
      </c>
    </row>
    <row r="81" spans="45:60" ht="15.75" x14ac:dyDescent="0.25">
      <c r="AS81" s="273"/>
      <c r="AT81" s="272"/>
      <c r="AU81" s="29" t="s">
        <v>44</v>
      </c>
      <c r="AV81" s="164" t="e">
        <f>SUM(AV73,AV75,AV76,AV78)/AV80</f>
        <v>#DIV/0!</v>
      </c>
      <c r="AW81" s="272"/>
      <c r="AX81" s="29" t="s">
        <v>44</v>
      </c>
      <c r="AY81" s="164" t="e">
        <f>SUM(AY73,AY75,AY76,AY78)/AY80</f>
        <v>#DIV/0!</v>
      </c>
      <c r="AZ81" s="272"/>
      <c r="BA81" s="29" t="s">
        <v>44</v>
      </c>
      <c r="BB81" s="164" t="e">
        <f>SUM(BB73,BB75,BB76,BB78)/BB80</f>
        <v>#DIV/0!</v>
      </c>
      <c r="BC81" s="272"/>
      <c r="BD81" s="29" t="s">
        <v>44</v>
      </c>
      <c r="BE81" s="164" t="e">
        <f>SUM(BE73,BE75,BE76,BE78)/BE80</f>
        <v>#DIV/0!</v>
      </c>
      <c r="BF81" s="272"/>
      <c r="BG81" s="29" t="s">
        <v>44</v>
      </c>
      <c r="BH81" s="164" t="e">
        <f>SUM(BH73,BH75,BH76,BH78)/BH80</f>
        <v>#DIV/0!</v>
      </c>
    </row>
    <row r="82" spans="45:60" x14ac:dyDescent="0.25"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</row>
    <row r="83" spans="45:60" ht="17.25" customHeight="1" x14ac:dyDescent="0.25">
      <c r="AS83" s="273" t="s">
        <v>76</v>
      </c>
      <c r="AT83" s="270" t="s">
        <v>50</v>
      </c>
      <c r="AU83" s="54" t="s">
        <v>27</v>
      </c>
      <c r="AV83" s="166">
        <f>COUNTIFS(JOURNAL!F:F,"9",JOURNAL!D:D,"MONDAY",JOURNAL!O:O,"TP")</f>
        <v>0</v>
      </c>
      <c r="AW83" s="270" t="s">
        <v>51</v>
      </c>
      <c r="AX83" s="54" t="s">
        <v>27</v>
      </c>
      <c r="AY83" s="166">
        <f>COUNTIFS(JOURNAL!F:F,"9",JOURNAL!D:D,"TUESDAY",JOURNAL!O:O,"TP")</f>
        <v>0</v>
      </c>
      <c r="AZ83" s="270" t="s">
        <v>52</v>
      </c>
      <c r="BA83" s="54" t="s">
        <v>27</v>
      </c>
      <c r="BB83" s="166">
        <f>COUNTIFS(JOURNAL!F:F,"9",JOURNAL!D:D,"WEDNESDAY",JOURNAL!O:O,"TP")</f>
        <v>0</v>
      </c>
      <c r="BC83" s="270" t="s">
        <v>53</v>
      </c>
      <c r="BD83" s="54" t="s">
        <v>27</v>
      </c>
      <c r="BE83" s="166">
        <f>COUNTIFS(JOURNAL!F:F,"9",JOURNAL!D:D,"THURSDAY",JOURNAL!O:O,"TP")</f>
        <v>0</v>
      </c>
      <c r="BF83" s="270" t="s">
        <v>54</v>
      </c>
      <c r="BG83" s="54" t="s">
        <v>27</v>
      </c>
      <c r="BH83" s="166">
        <f>COUNTIFS(JOURNAL!F:F,"9",JOURNAL!D:D,"FRIDAY",JOURNAL!O:O,"TP")</f>
        <v>0</v>
      </c>
    </row>
    <row r="84" spans="45:60" ht="15.75" x14ac:dyDescent="0.25">
      <c r="AS84" s="273"/>
      <c r="AT84" s="271"/>
      <c r="AU84" s="55" t="s">
        <v>29</v>
      </c>
      <c r="AV84" s="166">
        <f>COUNTIFS(JOURNAL!F:F,"9",JOURNAL!D:D,"MONDAY",JOURNAL!O:O,"SL")</f>
        <v>0</v>
      </c>
      <c r="AW84" s="271"/>
      <c r="AX84" s="55" t="s">
        <v>29</v>
      </c>
      <c r="AY84" s="166">
        <f>COUNTIFS(JOURNAL!F:F,"9",JOURNAL!D:D,"TUESDAY",JOURNAL!O:O,"SL")</f>
        <v>0</v>
      </c>
      <c r="AZ84" s="271"/>
      <c r="BA84" s="55" t="s">
        <v>29</v>
      </c>
      <c r="BB84" s="166">
        <f>COUNTIFS(JOURNAL!F:F,"9",JOURNAL!D:D,"WEDNESDAY",JOURNAL!O:O,"SL")</f>
        <v>0</v>
      </c>
      <c r="BC84" s="271"/>
      <c r="BD84" s="55" t="s">
        <v>29</v>
      </c>
      <c r="BE84" s="166">
        <f>COUNTIFS(JOURNAL!F:F,"9",JOURNAL!D:D,"THURSDAY",JOURNAL!O:O,"SL")</f>
        <v>0</v>
      </c>
      <c r="BF84" s="271"/>
      <c r="BG84" s="55" t="s">
        <v>29</v>
      </c>
      <c r="BH84" s="166">
        <f>COUNTIFS(JOURNAL!F:F,"9",JOURNAL!D:D,"FRIDAY",JOURNAL!O:O,"SL")</f>
        <v>0</v>
      </c>
    </row>
    <row r="85" spans="45:60" ht="15.75" x14ac:dyDescent="0.25">
      <c r="AS85" s="273"/>
      <c r="AT85" s="271"/>
      <c r="AU85" s="56" t="s">
        <v>32</v>
      </c>
      <c r="AV85" s="166">
        <f>COUNTIFS(JOURNAL!F:F,"9",JOURNAL!D:D,"MONDAY",JOURNAL!O:O,"RF")</f>
        <v>0</v>
      </c>
      <c r="AW85" s="271"/>
      <c r="AX85" s="56" t="s">
        <v>32</v>
      </c>
      <c r="AY85" s="166">
        <f>COUNTIFS(JOURNAL!F:F,"9",JOURNAL!D:D,"TUESDAY",JOURNAL!O:O,"RF")</f>
        <v>0</v>
      </c>
      <c r="AZ85" s="271"/>
      <c r="BA85" s="56" t="s">
        <v>32</v>
      </c>
      <c r="BB85" s="166">
        <f>COUNTIFS(JOURNAL!F:F,"9",JOURNAL!D:D,"WEDNESDAY",JOURNAL!O:O,"RF")</f>
        <v>0</v>
      </c>
      <c r="BC85" s="271"/>
      <c r="BD85" s="56" t="s">
        <v>32</v>
      </c>
      <c r="BE85" s="166">
        <f>COUNTIFS(JOURNAL!F:F,"9",JOURNAL!D:D,"THURSDAY",JOURNAL!O:O,"RF")</f>
        <v>0</v>
      </c>
      <c r="BF85" s="271"/>
      <c r="BG85" s="56" t="s">
        <v>32</v>
      </c>
      <c r="BH85" s="166">
        <f>COUNTIFS(JOURNAL!F:F,"9",JOURNAL!D:D,"FRIDAY",JOURNAL!O:O,"RF")</f>
        <v>0</v>
      </c>
    </row>
    <row r="86" spans="45:60" ht="15.75" x14ac:dyDescent="0.25">
      <c r="AS86" s="273"/>
      <c r="AT86" s="271"/>
      <c r="AU86" s="57" t="s">
        <v>30</v>
      </c>
      <c r="AV86" s="166">
        <f>COUNTIFS(JOURNAL!F:F,"9",JOURNAL!D:D,"MONDAY",JOURNAL!O:O,"PS")</f>
        <v>0</v>
      </c>
      <c r="AW86" s="271"/>
      <c r="AX86" s="57" t="s">
        <v>30</v>
      </c>
      <c r="AY86" s="166">
        <f>COUNTIFS(JOURNAL!F:F,"9",JOURNAL!D:D,"TUESDAY",JOURNAL!O:O,"PS")</f>
        <v>0</v>
      </c>
      <c r="AZ86" s="271"/>
      <c r="BA86" s="57" t="s">
        <v>30</v>
      </c>
      <c r="BB86" s="166">
        <f>COUNTIFS(JOURNAL!F:F,"9",JOURNAL!D:D,"WEDNESDAY",JOURNAL!O:O,"PS")</f>
        <v>0</v>
      </c>
      <c r="BC86" s="271"/>
      <c r="BD86" s="57" t="s">
        <v>30</v>
      </c>
      <c r="BE86" s="166">
        <f>COUNTIFS(JOURNAL!F:F,"9",JOURNAL!D:D,"THURSDAY",JOURNAL!O:O,"PS")</f>
        <v>0</v>
      </c>
      <c r="BF86" s="271"/>
      <c r="BG86" s="57" t="s">
        <v>30</v>
      </c>
      <c r="BH86" s="166">
        <f>COUNTIFS(JOURNAL!F:F,"9",JOURNAL!D:D,"FRIDAY",JOURNAL!O:O,"PS")</f>
        <v>0</v>
      </c>
    </row>
    <row r="87" spans="45:60" ht="15.75" x14ac:dyDescent="0.25">
      <c r="AS87" s="273"/>
      <c r="AT87" s="271"/>
      <c r="AU87" s="58" t="s">
        <v>31</v>
      </c>
      <c r="AV87" s="166">
        <f>COUNTIFS(JOURNAL!F:F,"9",JOURNAL!D:D,"MONDAY",JOURNAL!O:O,"LS")</f>
        <v>0</v>
      </c>
      <c r="AW87" s="271"/>
      <c r="AX87" s="58" t="s">
        <v>31</v>
      </c>
      <c r="AY87" s="166">
        <f>COUNTIFS(JOURNAL!F:F,"9",JOURNAL!D:D,"TUESDAY",JOURNAL!O:O,"LS")</f>
        <v>0</v>
      </c>
      <c r="AZ87" s="271"/>
      <c r="BA87" s="58" t="s">
        <v>31</v>
      </c>
      <c r="BB87" s="166">
        <f>COUNTIFS(JOURNAL!F:F,"9",JOURNAL!D:D,"WEDNESDAY",JOURNAL!O:O,"LS")</f>
        <v>0</v>
      </c>
      <c r="BC87" s="271"/>
      <c r="BD87" s="58" t="s">
        <v>31</v>
      </c>
      <c r="BE87" s="166">
        <f>COUNTIFS(JOURNAL!F:F,"9",JOURNAL!D:D,"THURSDAY",JOURNAL!O:O,"LS")</f>
        <v>0</v>
      </c>
      <c r="BF87" s="271"/>
      <c r="BG87" s="58" t="s">
        <v>31</v>
      </c>
      <c r="BH87" s="166">
        <f>COUNTIFS(JOURNAL!F:F,"9",JOURNAL!D:D,"FRIDAY",JOURNAL!O:O,"LS")</f>
        <v>0</v>
      </c>
    </row>
    <row r="88" spans="45:60" ht="15.75" x14ac:dyDescent="0.25">
      <c r="AS88" s="273"/>
      <c r="AT88" s="271"/>
      <c r="AU88" s="59" t="s">
        <v>33</v>
      </c>
      <c r="AV88" s="166">
        <f>COUNTIFS(JOURNAL!F:F,"9",JOURNAL!D:D,"MONDAY",JOURNAL!O:O,"OT +")</f>
        <v>0</v>
      </c>
      <c r="AW88" s="271"/>
      <c r="AX88" s="59" t="s">
        <v>33</v>
      </c>
      <c r="AY88" s="166">
        <f>COUNTIFS(JOURNAL!F:F,"9",JOURNAL!D:D,"TUESDAY",JOURNAL!O:O,"OT +")</f>
        <v>0</v>
      </c>
      <c r="AZ88" s="271"/>
      <c r="BA88" s="59" t="s">
        <v>33</v>
      </c>
      <c r="BB88" s="166">
        <f>COUNTIFS(JOURNAL!F:F,"9",JOURNAL!D:D,"WEDNESDAY",JOURNAL!O:O,"OT +")</f>
        <v>0</v>
      </c>
      <c r="BC88" s="271"/>
      <c r="BD88" s="59" t="s">
        <v>33</v>
      </c>
      <c r="BE88" s="166">
        <f>COUNTIFS(JOURNAL!F:F,"9",JOURNAL!D:D,"THURSDAY",JOURNAL!O:O,"OT +")</f>
        <v>0</v>
      </c>
      <c r="BF88" s="271"/>
      <c r="BG88" s="59" t="s">
        <v>33</v>
      </c>
      <c r="BH88" s="166">
        <f>COUNTIFS(JOURNAL!F:F,"9",JOURNAL!D:D,"FRIDAY",JOURNAL!O:O,"OT +")</f>
        <v>0</v>
      </c>
    </row>
    <row r="89" spans="45:60" ht="15.75" x14ac:dyDescent="0.25">
      <c r="AS89" s="273"/>
      <c r="AT89" s="271"/>
      <c r="AU89" s="60" t="s">
        <v>34</v>
      </c>
      <c r="AV89" s="166">
        <f>COUNTIFS(JOURNAL!F:F,"9",JOURNAL!D:D,"MONDAY",JOURNAL!O:O,"OT -")</f>
        <v>0</v>
      </c>
      <c r="AW89" s="271"/>
      <c r="AX89" s="60" t="s">
        <v>34</v>
      </c>
      <c r="AY89" s="166">
        <f>COUNTIFS(JOURNAL!F:F,"9",JOURNAL!D:D,"TUESDAY",JOURNAL!O:O,"OT -")</f>
        <v>0</v>
      </c>
      <c r="AZ89" s="271"/>
      <c r="BA89" s="60" t="s">
        <v>34</v>
      </c>
      <c r="BB89" s="166">
        <f>COUNTIFS(JOURNAL!F:F,"9",JOURNAL!D:D,"WEDNESDAY",JOURNAL!O:O,"OT -")</f>
        <v>0</v>
      </c>
      <c r="BC89" s="271"/>
      <c r="BD89" s="60" t="s">
        <v>34</v>
      </c>
      <c r="BE89" s="166">
        <f>COUNTIFS(JOURNAL!F:F,"9",JOURNAL!D:D,"THURSDAY",JOURNAL!O:O,"OT -")</f>
        <v>0</v>
      </c>
      <c r="BF89" s="271"/>
      <c r="BG89" s="60" t="s">
        <v>34</v>
      </c>
      <c r="BH89" s="166">
        <f>COUNTIFS(JOURNAL!F:F,"9",JOURNAL!D:D,"FRIDAY",JOURNAL!O:O,"OT -")</f>
        <v>0</v>
      </c>
    </row>
    <row r="90" spans="45:60" ht="15.75" x14ac:dyDescent="0.25">
      <c r="AS90" s="273"/>
      <c r="AT90" s="271"/>
      <c r="AU90" s="25" t="s">
        <v>115</v>
      </c>
      <c r="AV90" s="166">
        <f>SUM(AV83:AV89)</f>
        <v>0</v>
      </c>
      <c r="AW90" s="271"/>
      <c r="AX90" s="25" t="s">
        <v>115</v>
      </c>
      <c r="AY90" s="166">
        <f>SUM(AY83:AY89)</f>
        <v>0</v>
      </c>
      <c r="AZ90" s="271"/>
      <c r="BA90" s="25" t="s">
        <v>115</v>
      </c>
      <c r="BB90" s="166">
        <f>SUM(BB83:BB89)</f>
        <v>0</v>
      </c>
      <c r="BC90" s="271"/>
      <c r="BD90" s="25" t="s">
        <v>115</v>
      </c>
      <c r="BE90" s="166">
        <f>SUM(BE83:BE89)</f>
        <v>0</v>
      </c>
      <c r="BF90" s="271"/>
      <c r="BG90" s="25" t="s">
        <v>115</v>
      </c>
      <c r="BH90" s="166">
        <f>SUM(BH83:BH89)</f>
        <v>0</v>
      </c>
    </row>
    <row r="91" spans="45:60" ht="15.75" x14ac:dyDescent="0.25">
      <c r="AS91" s="273"/>
      <c r="AT91" s="272"/>
      <c r="AU91" s="29" t="s">
        <v>44</v>
      </c>
      <c r="AV91" s="164" t="e">
        <f>SUM(AV83,AV85,AV86,AV88)/AV90</f>
        <v>#DIV/0!</v>
      </c>
      <c r="AW91" s="272"/>
      <c r="AX91" s="29" t="s">
        <v>44</v>
      </c>
      <c r="AY91" s="164" t="e">
        <f>SUM(AY83,AY85,AY86,AY88)/AY90</f>
        <v>#DIV/0!</v>
      </c>
      <c r="AZ91" s="272"/>
      <c r="BA91" s="29" t="s">
        <v>44</v>
      </c>
      <c r="BB91" s="164" t="e">
        <f>SUM(BB83,BB85,BB86,BB88)/BB90</f>
        <v>#DIV/0!</v>
      </c>
      <c r="BC91" s="272"/>
      <c r="BD91" s="29" t="s">
        <v>44</v>
      </c>
      <c r="BE91" s="164" t="e">
        <f>SUM(BE83,BE85,BE86,BE88)/BE90</f>
        <v>#DIV/0!</v>
      </c>
      <c r="BF91" s="272"/>
      <c r="BG91" s="29" t="s">
        <v>44</v>
      </c>
      <c r="BH91" s="164" t="e">
        <f>SUM(BH83,BH85,BH86,BH88)/BH90</f>
        <v>#DIV/0!</v>
      </c>
    </row>
    <row r="92" spans="45:60" x14ac:dyDescent="0.25"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</row>
    <row r="93" spans="45:60" ht="15.75" customHeight="1" x14ac:dyDescent="0.25">
      <c r="AS93" s="273" t="s">
        <v>77</v>
      </c>
      <c r="AT93" s="270" t="s">
        <v>50</v>
      </c>
      <c r="AU93" s="54" t="s">
        <v>27</v>
      </c>
      <c r="AV93" s="166">
        <f>COUNTIFS(JOURNAL!F:F,"10",JOURNAL!D:D,"MONDAY",JOURNAL!O:O,"TP")</f>
        <v>0</v>
      </c>
      <c r="AW93" s="270" t="s">
        <v>51</v>
      </c>
      <c r="AX93" s="54" t="s">
        <v>27</v>
      </c>
      <c r="AY93" s="166">
        <f>COUNTIFS(JOURNAL!F:F,"10",JOURNAL!D:D,"TUESDAY",JOURNAL!O:O,"TP")</f>
        <v>0</v>
      </c>
      <c r="AZ93" s="270" t="s">
        <v>52</v>
      </c>
      <c r="BA93" s="54" t="s">
        <v>27</v>
      </c>
      <c r="BB93" s="166">
        <f>COUNTIFS(JOURNAL!F:F,"10",JOURNAL!D:D,"WEDNESDAY",JOURNAL!O:O,"TP")</f>
        <v>0</v>
      </c>
      <c r="BC93" s="270" t="s">
        <v>53</v>
      </c>
      <c r="BD93" s="54" t="s">
        <v>27</v>
      </c>
      <c r="BE93" s="166">
        <f>COUNTIFS(JOURNAL!F:F,"10",JOURNAL!D:D,"THURSDAY",JOURNAL!O:O,"TP")</f>
        <v>0</v>
      </c>
      <c r="BF93" s="270" t="s">
        <v>54</v>
      </c>
      <c r="BG93" s="54" t="s">
        <v>27</v>
      </c>
      <c r="BH93" s="166">
        <f>COUNTIFS(JOURNAL!F:F,"10",JOURNAL!D:D,"FRIDAY",JOURNAL!O:O,"TP")</f>
        <v>0</v>
      </c>
    </row>
    <row r="94" spans="45:60" ht="15.75" x14ac:dyDescent="0.25">
      <c r="AS94" s="273"/>
      <c r="AT94" s="271"/>
      <c r="AU94" s="55" t="s">
        <v>29</v>
      </c>
      <c r="AV94" s="166">
        <f>COUNTIFS(JOURNAL!F:F,"10",JOURNAL!D:D,"MONDAY",JOURNAL!O:O,"SL")</f>
        <v>0</v>
      </c>
      <c r="AW94" s="271"/>
      <c r="AX94" s="55" t="s">
        <v>29</v>
      </c>
      <c r="AY94" s="166">
        <f>COUNTIFS(JOURNAL!F:F,"10",JOURNAL!D:D,"TUESDAY",JOURNAL!O:O,"SL")</f>
        <v>0</v>
      </c>
      <c r="AZ94" s="271"/>
      <c r="BA94" s="55" t="s">
        <v>29</v>
      </c>
      <c r="BB94" s="166">
        <f>COUNTIFS(JOURNAL!F:F,"10",JOURNAL!D:D,"WEDNESDAY",JOURNAL!O:O,"SL")</f>
        <v>0</v>
      </c>
      <c r="BC94" s="271"/>
      <c r="BD94" s="55" t="s">
        <v>29</v>
      </c>
      <c r="BE94" s="166">
        <f>COUNTIFS(JOURNAL!F:F,"10",JOURNAL!D:D,"THURSDAY",JOURNAL!O:O,"SL")</f>
        <v>0</v>
      </c>
      <c r="BF94" s="271"/>
      <c r="BG94" s="55" t="s">
        <v>29</v>
      </c>
      <c r="BH94" s="166">
        <f>COUNTIFS(JOURNAL!F:F,"10",JOURNAL!D:D,"FRIDAY",JOURNAL!O:O,"SL")</f>
        <v>0</v>
      </c>
    </row>
    <row r="95" spans="45:60" ht="15.75" x14ac:dyDescent="0.25">
      <c r="AS95" s="273"/>
      <c r="AT95" s="271"/>
      <c r="AU95" s="56" t="s">
        <v>32</v>
      </c>
      <c r="AV95" s="166">
        <f>COUNTIFS(JOURNAL!F:F,"10",JOURNAL!D:D,"MONDAY",JOURNAL!O:O,"RF")</f>
        <v>0</v>
      </c>
      <c r="AW95" s="271"/>
      <c r="AX95" s="56" t="s">
        <v>32</v>
      </c>
      <c r="AY95" s="166">
        <f>COUNTIFS(JOURNAL!F:F,"10",JOURNAL!D:D,"TUESDAY",JOURNAL!O:O,"RF")</f>
        <v>0</v>
      </c>
      <c r="AZ95" s="271"/>
      <c r="BA95" s="56" t="s">
        <v>32</v>
      </c>
      <c r="BB95" s="166">
        <f>COUNTIFS(JOURNAL!F:F,"10",JOURNAL!D:D,"WEDNESDAY",JOURNAL!O:O,"RF")</f>
        <v>0</v>
      </c>
      <c r="BC95" s="271"/>
      <c r="BD95" s="56" t="s">
        <v>32</v>
      </c>
      <c r="BE95" s="166">
        <f>COUNTIFS(JOURNAL!F:F,"10",JOURNAL!D:D,"THURSDAY",JOURNAL!O:O,"RF")</f>
        <v>0</v>
      </c>
      <c r="BF95" s="271"/>
      <c r="BG95" s="56" t="s">
        <v>32</v>
      </c>
      <c r="BH95" s="166">
        <f>COUNTIFS(JOURNAL!F:F,"10",JOURNAL!D:D,"FRIDAY",JOURNAL!O:O,"RF")</f>
        <v>0</v>
      </c>
    </row>
    <row r="96" spans="45:60" ht="15.75" x14ac:dyDescent="0.25">
      <c r="AS96" s="273"/>
      <c r="AT96" s="271"/>
      <c r="AU96" s="57" t="s">
        <v>30</v>
      </c>
      <c r="AV96" s="166">
        <f>COUNTIFS(JOURNAL!F:F,"10",JOURNAL!D:D,"MONDAY",JOURNAL!O:O,"PS")</f>
        <v>0</v>
      </c>
      <c r="AW96" s="271"/>
      <c r="AX96" s="57" t="s">
        <v>30</v>
      </c>
      <c r="AY96" s="166">
        <f>COUNTIFS(JOURNAL!F:F,"10",JOURNAL!D:D,"TUESDAY",JOURNAL!O:O,"PS")</f>
        <v>0</v>
      </c>
      <c r="AZ96" s="271"/>
      <c r="BA96" s="57" t="s">
        <v>30</v>
      </c>
      <c r="BB96" s="166">
        <f>COUNTIFS(JOURNAL!F:F,"10",JOURNAL!D:D,"WEDNESDAY",JOURNAL!O:O,"PS")</f>
        <v>0</v>
      </c>
      <c r="BC96" s="271"/>
      <c r="BD96" s="57" t="s">
        <v>30</v>
      </c>
      <c r="BE96" s="166">
        <f>COUNTIFS(JOURNAL!F:F,"10",JOURNAL!D:D,"THURSDAY",JOURNAL!O:O,"PS")</f>
        <v>0</v>
      </c>
      <c r="BF96" s="271"/>
      <c r="BG96" s="57" t="s">
        <v>30</v>
      </c>
      <c r="BH96" s="166">
        <f>COUNTIFS(JOURNAL!F:F,"10",JOURNAL!D:D,"FRIDAY",JOURNAL!O:O,"PS")</f>
        <v>0</v>
      </c>
    </row>
    <row r="97" spans="45:60" ht="15.75" x14ac:dyDescent="0.25">
      <c r="AS97" s="273"/>
      <c r="AT97" s="271"/>
      <c r="AU97" s="58" t="s">
        <v>31</v>
      </c>
      <c r="AV97" s="166">
        <f>COUNTIFS(JOURNAL!F:F,"10",JOURNAL!D:D,"MONDAY",JOURNAL!O:O,"LS")</f>
        <v>0</v>
      </c>
      <c r="AW97" s="271"/>
      <c r="AX97" s="58" t="s">
        <v>31</v>
      </c>
      <c r="AY97" s="166">
        <f>COUNTIFS(JOURNAL!F:F,"10",JOURNAL!D:D,"TUESDAY",JOURNAL!O:O,"LS")</f>
        <v>0</v>
      </c>
      <c r="AZ97" s="271"/>
      <c r="BA97" s="58" t="s">
        <v>31</v>
      </c>
      <c r="BB97" s="166">
        <f>COUNTIFS(JOURNAL!F:F,"10",JOURNAL!D:D,"WEDNESDAY",JOURNAL!O:O,"LS")</f>
        <v>0</v>
      </c>
      <c r="BC97" s="271"/>
      <c r="BD97" s="58" t="s">
        <v>31</v>
      </c>
      <c r="BE97" s="166">
        <f>COUNTIFS(JOURNAL!F:F,"10",JOURNAL!D:D,"THURSDAY",JOURNAL!O:O,"LS")</f>
        <v>0</v>
      </c>
      <c r="BF97" s="271"/>
      <c r="BG97" s="58" t="s">
        <v>31</v>
      </c>
      <c r="BH97" s="166">
        <f>COUNTIFS(JOURNAL!F:F,"10",JOURNAL!D:D,"FRIDAY",JOURNAL!O:O,"LS")</f>
        <v>0</v>
      </c>
    </row>
    <row r="98" spans="45:60" ht="15.75" x14ac:dyDescent="0.25">
      <c r="AS98" s="273"/>
      <c r="AT98" s="271"/>
      <c r="AU98" s="59" t="s">
        <v>33</v>
      </c>
      <c r="AV98" s="166">
        <f>COUNTIFS(JOURNAL!F:F,"10",JOURNAL!D:D,"MONDAY",JOURNAL!O:O,"OT +")</f>
        <v>0</v>
      </c>
      <c r="AW98" s="271"/>
      <c r="AX98" s="59" t="s">
        <v>33</v>
      </c>
      <c r="AY98" s="166">
        <f>COUNTIFS(JOURNAL!F:F,"10",JOURNAL!D:D,"TUESDAY",JOURNAL!O:O,"OT +")</f>
        <v>0</v>
      </c>
      <c r="AZ98" s="271"/>
      <c r="BA98" s="59" t="s">
        <v>33</v>
      </c>
      <c r="BB98" s="166">
        <f>COUNTIFS(JOURNAL!F:F,"10",JOURNAL!D:D,"WEDNESDAY",JOURNAL!O:O,"OT +")</f>
        <v>0</v>
      </c>
      <c r="BC98" s="271"/>
      <c r="BD98" s="59" t="s">
        <v>33</v>
      </c>
      <c r="BE98" s="166">
        <f>COUNTIFS(JOURNAL!F:F,"10",JOURNAL!D:D,"THURSDAY",JOURNAL!O:O,"OT +")</f>
        <v>0</v>
      </c>
      <c r="BF98" s="271"/>
      <c r="BG98" s="59" t="s">
        <v>33</v>
      </c>
      <c r="BH98" s="166">
        <f>COUNTIFS(JOURNAL!F:F,"10",JOURNAL!D:D,"FRIDAY",JOURNAL!O:O,"OT +")</f>
        <v>0</v>
      </c>
    </row>
    <row r="99" spans="45:60" ht="15.75" x14ac:dyDescent="0.25">
      <c r="AS99" s="273"/>
      <c r="AT99" s="271"/>
      <c r="AU99" s="60" t="s">
        <v>34</v>
      </c>
      <c r="AV99" s="166">
        <f>COUNTIFS(JOURNAL!F:F,"10",JOURNAL!D:D,"MONDAY",JOURNAL!O:O,"OT -")</f>
        <v>0</v>
      </c>
      <c r="AW99" s="271"/>
      <c r="AX99" s="60" t="s">
        <v>34</v>
      </c>
      <c r="AY99" s="166">
        <f>COUNTIFS(JOURNAL!F:F,"10",JOURNAL!D:D,"TUESDAY",JOURNAL!O:O,"OT -")</f>
        <v>0</v>
      </c>
      <c r="AZ99" s="271"/>
      <c r="BA99" s="60" t="s">
        <v>34</v>
      </c>
      <c r="BB99" s="166">
        <f>COUNTIFS(JOURNAL!F:F,"10",JOURNAL!D:D,"WEDNESDAY",JOURNAL!O:O,"OT -")</f>
        <v>0</v>
      </c>
      <c r="BC99" s="271"/>
      <c r="BD99" s="60" t="s">
        <v>34</v>
      </c>
      <c r="BE99" s="166">
        <f>COUNTIFS(JOURNAL!F:F,"10",JOURNAL!D:D,"THURSDAY",JOURNAL!O:O,"OT -")</f>
        <v>0</v>
      </c>
      <c r="BF99" s="271"/>
      <c r="BG99" s="60" t="s">
        <v>34</v>
      </c>
      <c r="BH99" s="166">
        <f>COUNTIFS(JOURNAL!F:F,"10",JOURNAL!D:D,"FRIDAY",JOURNAL!O:O,"OT -")</f>
        <v>0</v>
      </c>
    </row>
    <row r="100" spans="45:60" ht="15.75" x14ac:dyDescent="0.25">
      <c r="AS100" s="273"/>
      <c r="AT100" s="271"/>
      <c r="AU100" s="25" t="s">
        <v>115</v>
      </c>
      <c r="AV100" s="166">
        <f>SUM(AV93:AV99)</f>
        <v>0</v>
      </c>
      <c r="AW100" s="271"/>
      <c r="AX100" s="25" t="s">
        <v>115</v>
      </c>
      <c r="AY100" s="166">
        <f>SUM(AY93:AY99)</f>
        <v>0</v>
      </c>
      <c r="AZ100" s="271"/>
      <c r="BA100" s="25" t="s">
        <v>115</v>
      </c>
      <c r="BB100" s="166">
        <f>SUM(BB93:BB99)</f>
        <v>0</v>
      </c>
      <c r="BC100" s="271"/>
      <c r="BD100" s="25" t="s">
        <v>115</v>
      </c>
      <c r="BE100" s="166">
        <f>SUM(BE93:BE99)</f>
        <v>0</v>
      </c>
      <c r="BF100" s="271"/>
      <c r="BG100" s="25" t="s">
        <v>115</v>
      </c>
      <c r="BH100" s="166">
        <f>SUM(BH93:BH99)</f>
        <v>0</v>
      </c>
    </row>
    <row r="101" spans="45:60" ht="18.75" customHeight="1" x14ac:dyDescent="0.25">
      <c r="AS101" s="273"/>
      <c r="AT101" s="272"/>
      <c r="AU101" s="29" t="s">
        <v>44</v>
      </c>
      <c r="AV101" s="164" t="e">
        <f>SUM(AV93,AV95,AV96,AV98)/AV100</f>
        <v>#DIV/0!</v>
      </c>
      <c r="AW101" s="272"/>
      <c r="AX101" s="29" t="s">
        <v>44</v>
      </c>
      <c r="AY101" s="164" t="e">
        <f>SUM(AY93,AY95,AY96,AY98)/AY100</f>
        <v>#DIV/0!</v>
      </c>
      <c r="AZ101" s="272"/>
      <c r="BA101" s="29" t="s">
        <v>44</v>
      </c>
      <c r="BB101" s="164" t="e">
        <f>SUM(BB93,BB95,BB96,BB98)/BB100</f>
        <v>#DIV/0!</v>
      </c>
      <c r="BC101" s="272"/>
      <c r="BD101" s="29" t="s">
        <v>44</v>
      </c>
      <c r="BE101" s="164" t="e">
        <f>SUM(BE93,BE95,BE96,BE98)/BE100</f>
        <v>#DIV/0!</v>
      </c>
      <c r="BF101" s="272"/>
      <c r="BG101" s="29" t="s">
        <v>44</v>
      </c>
      <c r="BH101" s="164" t="e">
        <f>SUM(BH93,BH95,BH96,BH98)/BH100</f>
        <v>#DIV/0!</v>
      </c>
    </row>
    <row r="102" spans="45:60" x14ac:dyDescent="0.25"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</row>
    <row r="103" spans="45:60" ht="15.75" customHeight="1" x14ac:dyDescent="0.25">
      <c r="AS103" s="273" t="s">
        <v>78</v>
      </c>
      <c r="AT103" s="270" t="s">
        <v>50</v>
      </c>
      <c r="AU103" s="54" t="s">
        <v>27</v>
      </c>
      <c r="AV103" s="166">
        <f>COUNTIFS(JOURNAL!F:F,"11",JOURNAL!D:D,"MONDAY",JOURNAL!O:O,"TP")</f>
        <v>0</v>
      </c>
      <c r="AW103" s="270" t="s">
        <v>51</v>
      </c>
      <c r="AX103" s="54" t="s">
        <v>27</v>
      </c>
      <c r="AY103" s="166">
        <f>COUNTIFS(JOURNAL!F:F,"11",JOURNAL!D:D,"TUESDAY",JOURNAL!O:O,"TP")</f>
        <v>0</v>
      </c>
      <c r="AZ103" s="270" t="s">
        <v>52</v>
      </c>
      <c r="BA103" s="54" t="s">
        <v>27</v>
      </c>
      <c r="BB103" s="166">
        <f>COUNTIFS(JOURNAL!F:F,"11",JOURNAL!D:D,"WEDNESDAY",JOURNAL!O:O,"TP")</f>
        <v>0</v>
      </c>
      <c r="BC103" s="270" t="s">
        <v>53</v>
      </c>
      <c r="BD103" s="54" t="s">
        <v>27</v>
      </c>
      <c r="BE103" s="166">
        <f>COUNTIFS(JOURNAL!F:F,"11",JOURNAL!D:D,"THURSDAY",JOURNAL!O:O,"TP")</f>
        <v>0</v>
      </c>
      <c r="BF103" s="270" t="s">
        <v>54</v>
      </c>
      <c r="BG103" s="54" t="s">
        <v>27</v>
      </c>
      <c r="BH103" s="166">
        <f>COUNTIFS(JOURNAL!F:F,"11",JOURNAL!D:D,"FRIDAY",JOURNAL!O:O,"TP")</f>
        <v>0</v>
      </c>
    </row>
    <row r="104" spans="45:60" ht="15.75" x14ac:dyDescent="0.25">
      <c r="AS104" s="273"/>
      <c r="AT104" s="271"/>
      <c r="AU104" s="55" t="s">
        <v>29</v>
      </c>
      <c r="AV104" s="166">
        <f>COUNTIFS(JOURNAL!F:F,"11",JOURNAL!D:D,"MONDAY",JOURNAL!O:O,"SL")</f>
        <v>0</v>
      </c>
      <c r="AW104" s="271"/>
      <c r="AX104" s="55" t="s">
        <v>29</v>
      </c>
      <c r="AY104" s="166">
        <f>COUNTIFS(JOURNAL!F:F,"11",JOURNAL!D:D,"TUESDAY",JOURNAL!O:O,"SL")</f>
        <v>0</v>
      </c>
      <c r="AZ104" s="271"/>
      <c r="BA104" s="55" t="s">
        <v>29</v>
      </c>
      <c r="BB104" s="166">
        <f>COUNTIFS(JOURNAL!F:F,"11",JOURNAL!D:D,"WEDNESDAY",JOURNAL!O:O,"SL")</f>
        <v>0</v>
      </c>
      <c r="BC104" s="271"/>
      <c r="BD104" s="55" t="s">
        <v>29</v>
      </c>
      <c r="BE104" s="166">
        <f>COUNTIFS(JOURNAL!F:F,"11",JOURNAL!D:D,"THURSDAY",JOURNAL!O:O,"SL")</f>
        <v>0</v>
      </c>
      <c r="BF104" s="271"/>
      <c r="BG104" s="55" t="s">
        <v>29</v>
      </c>
      <c r="BH104" s="166">
        <f>COUNTIFS(JOURNAL!F:F,"11",JOURNAL!D:D,"FRIDAY",JOURNAL!O:O,"SL")</f>
        <v>0</v>
      </c>
    </row>
    <row r="105" spans="45:60" ht="15.75" x14ac:dyDescent="0.25">
      <c r="AS105" s="273"/>
      <c r="AT105" s="271"/>
      <c r="AU105" s="56" t="s">
        <v>32</v>
      </c>
      <c r="AV105" s="166">
        <f>COUNTIFS(JOURNAL!F:F,"11",JOURNAL!D:D,"MONDAY",JOURNAL!O:O,"RF")</f>
        <v>0</v>
      </c>
      <c r="AW105" s="271"/>
      <c r="AX105" s="56" t="s">
        <v>32</v>
      </c>
      <c r="AY105" s="166">
        <f>COUNTIFS(JOURNAL!F:F,"11",JOURNAL!D:D,"TUESDAY",JOURNAL!O:O,"RF")</f>
        <v>0</v>
      </c>
      <c r="AZ105" s="271"/>
      <c r="BA105" s="56" t="s">
        <v>32</v>
      </c>
      <c r="BB105" s="166">
        <f>COUNTIFS(JOURNAL!F:F,"11",JOURNAL!D:D,"WEDNESDAY",JOURNAL!O:O,"RF")</f>
        <v>0</v>
      </c>
      <c r="BC105" s="271"/>
      <c r="BD105" s="56" t="s">
        <v>32</v>
      </c>
      <c r="BE105" s="166">
        <f>COUNTIFS(JOURNAL!F:F,"11",JOURNAL!D:D,"THURSDAY",JOURNAL!O:O,"RF")</f>
        <v>0</v>
      </c>
      <c r="BF105" s="271"/>
      <c r="BG105" s="56" t="s">
        <v>32</v>
      </c>
      <c r="BH105" s="166">
        <f>COUNTIFS(JOURNAL!F:F,"11",JOURNAL!D:D,"FRIDAY",JOURNAL!O:O,"RF")</f>
        <v>0</v>
      </c>
    </row>
    <row r="106" spans="45:60" ht="15.75" x14ac:dyDescent="0.25">
      <c r="AS106" s="273"/>
      <c r="AT106" s="271"/>
      <c r="AU106" s="57" t="s">
        <v>30</v>
      </c>
      <c r="AV106" s="166">
        <f>COUNTIFS(JOURNAL!F:F,"11",JOURNAL!D:D,"MONDAY",JOURNAL!O:O,"PS")</f>
        <v>0</v>
      </c>
      <c r="AW106" s="271"/>
      <c r="AX106" s="57" t="s">
        <v>30</v>
      </c>
      <c r="AY106" s="166">
        <f>COUNTIFS(JOURNAL!F:F,"11",JOURNAL!D:D,"TUESDAY",JOURNAL!O:O,"PS")</f>
        <v>0</v>
      </c>
      <c r="AZ106" s="271"/>
      <c r="BA106" s="57" t="s">
        <v>30</v>
      </c>
      <c r="BB106" s="166">
        <f>COUNTIFS(JOURNAL!F:F,"11",JOURNAL!D:D,"WEDNESDAY",JOURNAL!O:O,"PS")</f>
        <v>0</v>
      </c>
      <c r="BC106" s="271"/>
      <c r="BD106" s="57" t="s">
        <v>30</v>
      </c>
      <c r="BE106" s="166">
        <f>COUNTIFS(JOURNAL!F:F,"11",JOURNAL!D:D,"THURSDAY",JOURNAL!O:O,"PS")</f>
        <v>0</v>
      </c>
      <c r="BF106" s="271"/>
      <c r="BG106" s="57" t="s">
        <v>30</v>
      </c>
      <c r="BH106" s="166">
        <f>COUNTIFS(JOURNAL!F:F,"11",JOURNAL!D:D,"FRIDAY",JOURNAL!O:O,"PS")</f>
        <v>0</v>
      </c>
    </row>
    <row r="107" spans="45:60" ht="15.75" x14ac:dyDescent="0.25">
      <c r="AS107" s="273"/>
      <c r="AT107" s="271"/>
      <c r="AU107" s="58" t="s">
        <v>31</v>
      </c>
      <c r="AV107" s="166">
        <f>COUNTIFS(JOURNAL!F:F,"11",JOURNAL!D:D,"MONDAY",JOURNAL!O:O,"LS")</f>
        <v>0</v>
      </c>
      <c r="AW107" s="271"/>
      <c r="AX107" s="58" t="s">
        <v>31</v>
      </c>
      <c r="AY107" s="166">
        <f>COUNTIFS(JOURNAL!F:F,"11",JOURNAL!D:D,"TUESDAY",JOURNAL!O:O,"LS")</f>
        <v>0</v>
      </c>
      <c r="AZ107" s="271"/>
      <c r="BA107" s="58" t="s">
        <v>31</v>
      </c>
      <c r="BB107" s="166">
        <f>COUNTIFS(JOURNAL!F:F,"11",JOURNAL!D:D,"WEDNESDAY",JOURNAL!O:O,"LS")</f>
        <v>0</v>
      </c>
      <c r="BC107" s="271"/>
      <c r="BD107" s="58" t="s">
        <v>31</v>
      </c>
      <c r="BE107" s="166">
        <f>COUNTIFS(JOURNAL!F:F,"11",JOURNAL!D:D,"THURSDAY",JOURNAL!O:O,"LS")</f>
        <v>0</v>
      </c>
      <c r="BF107" s="271"/>
      <c r="BG107" s="58" t="s">
        <v>31</v>
      </c>
      <c r="BH107" s="166">
        <f>COUNTIFS(JOURNAL!F:F,"11",JOURNAL!D:D,"FRIDAY",JOURNAL!O:O,"LS")</f>
        <v>0</v>
      </c>
    </row>
    <row r="108" spans="45:60" ht="15.75" x14ac:dyDescent="0.25">
      <c r="AS108" s="273"/>
      <c r="AT108" s="271"/>
      <c r="AU108" s="59" t="s">
        <v>33</v>
      </c>
      <c r="AV108" s="166">
        <f>COUNTIFS(JOURNAL!F:F,"11",JOURNAL!D:D,"MONDAY",JOURNAL!O:O,"OT +")</f>
        <v>0</v>
      </c>
      <c r="AW108" s="271"/>
      <c r="AX108" s="59" t="s">
        <v>33</v>
      </c>
      <c r="AY108" s="166">
        <f>COUNTIFS(JOURNAL!F:F,"11",JOURNAL!D:D,"TUESDAY",JOURNAL!O:O,"OT +")</f>
        <v>0</v>
      </c>
      <c r="AZ108" s="271"/>
      <c r="BA108" s="59" t="s">
        <v>33</v>
      </c>
      <c r="BB108" s="166">
        <f>COUNTIFS(JOURNAL!F:F,"11",JOURNAL!D:D,"WEDNESDAY",JOURNAL!O:O,"OT +")</f>
        <v>0</v>
      </c>
      <c r="BC108" s="271"/>
      <c r="BD108" s="59" t="s">
        <v>33</v>
      </c>
      <c r="BE108" s="166">
        <f>COUNTIFS(JOURNAL!F:F,"11",JOURNAL!D:D,"THURSDAY",JOURNAL!O:O,"OT +")</f>
        <v>0</v>
      </c>
      <c r="BF108" s="271"/>
      <c r="BG108" s="59" t="s">
        <v>33</v>
      </c>
      <c r="BH108" s="166">
        <f>COUNTIFS(JOURNAL!F:F,"11",JOURNAL!D:D,"FRIDAY",JOURNAL!O:O,"OT +")</f>
        <v>0</v>
      </c>
    </row>
    <row r="109" spans="45:60" ht="15.75" x14ac:dyDescent="0.25">
      <c r="AS109" s="273"/>
      <c r="AT109" s="271"/>
      <c r="AU109" s="60" t="s">
        <v>34</v>
      </c>
      <c r="AV109" s="166">
        <f>COUNTIFS(JOURNAL!F:F,"11",JOURNAL!D:D,"MONDAY",JOURNAL!O:O,"OT -")</f>
        <v>0</v>
      </c>
      <c r="AW109" s="271"/>
      <c r="AX109" s="60" t="s">
        <v>34</v>
      </c>
      <c r="AY109" s="166">
        <f>COUNTIFS(JOURNAL!F:F,"11",JOURNAL!D:D,"TUESDAY",JOURNAL!O:O,"OT -")</f>
        <v>0</v>
      </c>
      <c r="AZ109" s="271"/>
      <c r="BA109" s="60" t="s">
        <v>34</v>
      </c>
      <c r="BB109" s="166">
        <f>COUNTIFS(JOURNAL!F:F,"11",JOURNAL!D:D,"WEDNESDAY",JOURNAL!O:O,"OT -")</f>
        <v>0</v>
      </c>
      <c r="BC109" s="271"/>
      <c r="BD109" s="60" t="s">
        <v>34</v>
      </c>
      <c r="BE109" s="166">
        <f>COUNTIFS(JOURNAL!F:F,"11",JOURNAL!D:D,"THURSDAY",JOURNAL!O:O,"OT -")</f>
        <v>0</v>
      </c>
      <c r="BF109" s="271"/>
      <c r="BG109" s="60" t="s">
        <v>34</v>
      </c>
      <c r="BH109" s="166">
        <f>COUNTIFS(JOURNAL!F:F,"11",JOURNAL!D:D,"FRIDAY",JOURNAL!O:O,"OT -")</f>
        <v>0</v>
      </c>
    </row>
    <row r="110" spans="45:60" ht="15.75" x14ac:dyDescent="0.25">
      <c r="AS110" s="273"/>
      <c r="AT110" s="271"/>
      <c r="AU110" s="25" t="s">
        <v>115</v>
      </c>
      <c r="AV110" s="166">
        <f>SUM(AV103:AV109)</f>
        <v>0</v>
      </c>
      <c r="AW110" s="271"/>
      <c r="AX110" s="25" t="s">
        <v>115</v>
      </c>
      <c r="AY110" s="166">
        <f>SUM(AY103:AY109)</f>
        <v>0</v>
      </c>
      <c r="AZ110" s="271"/>
      <c r="BA110" s="25" t="s">
        <v>115</v>
      </c>
      <c r="BB110" s="166">
        <f>SUM(BB103:BB109)</f>
        <v>0</v>
      </c>
      <c r="BC110" s="271"/>
      <c r="BD110" s="25" t="s">
        <v>115</v>
      </c>
      <c r="BE110" s="166">
        <f>SUM(BE103:BE109)</f>
        <v>0</v>
      </c>
      <c r="BF110" s="271"/>
      <c r="BG110" s="25" t="s">
        <v>115</v>
      </c>
      <c r="BH110" s="166">
        <f>SUM(BH103:BH109)</f>
        <v>0</v>
      </c>
    </row>
    <row r="111" spans="45:60" ht="19.5" customHeight="1" x14ac:dyDescent="0.25">
      <c r="AS111" s="273"/>
      <c r="AT111" s="272"/>
      <c r="AU111" s="29" t="s">
        <v>44</v>
      </c>
      <c r="AV111" s="164" t="e">
        <f>SUM(AV103,AV105,AV106,AV108)/AV110</f>
        <v>#DIV/0!</v>
      </c>
      <c r="AW111" s="272"/>
      <c r="AX111" s="29" t="s">
        <v>44</v>
      </c>
      <c r="AY111" s="164" t="e">
        <f>SUM(AY103,AY105,AY106,AY108)/AY110</f>
        <v>#DIV/0!</v>
      </c>
      <c r="AZ111" s="272"/>
      <c r="BA111" s="29" t="s">
        <v>44</v>
      </c>
      <c r="BB111" s="164" t="e">
        <f>SUM(BB103,BB105,BB106,BB108)/BB110</f>
        <v>#DIV/0!</v>
      </c>
      <c r="BC111" s="272"/>
      <c r="BD111" s="29" t="s">
        <v>44</v>
      </c>
      <c r="BE111" s="164" t="e">
        <f>SUM(BE103,BE105,BE106,BE108)/BE110</f>
        <v>#DIV/0!</v>
      </c>
      <c r="BF111" s="272"/>
      <c r="BG111" s="29" t="s">
        <v>44</v>
      </c>
      <c r="BH111" s="164" t="e">
        <f>SUM(BH103,BH105,BH106,BH108)/BH110</f>
        <v>#DIV/0!</v>
      </c>
    </row>
    <row r="112" spans="45:60" x14ac:dyDescent="0.25"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  <c r="BH112" s="53"/>
    </row>
    <row r="113" spans="45:60" ht="15.75" customHeight="1" x14ac:dyDescent="0.25">
      <c r="AS113" s="273" t="s">
        <v>79</v>
      </c>
      <c r="AT113" s="270" t="s">
        <v>50</v>
      </c>
      <c r="AU113" s="54" t="s">
        <v>27</v>
      </c>
      <c r="AV113" s="166">
        <f>COUNTIFS(JOURNAL!F:F,"12",JOURNAL!D:D,"MONDAY",JOURNAL!O:O,"TP")</f>
        <v>0</v>
      </c>
      <c r="AW113" s="270" t="s">
        <v>51</v>
      </c>
      <c r="AX113" s="54" t="s">
        <v>27</v>
      </c>
      <c r="AY113" s="166">
        <f>COUNTIFS(JOURNAL!F:F,"12",JOURNAL!D:D,"TUESDAY",JOURNAL!O:O,"TP")</f>
        <v>0</v>
      </c>
      <c r="AZ113" s="270" t="s">
        <v>52</v>
      </c>
      <c r="BA113" s="54" t="s">
        <v>27</v>
      </c>
      <c r="BB113" s="166">
        <f>COUNTIFS(JOURNAL!F:F,"12",JOURNAL!D:D,"WEDNESDAY",JOURNAL!O:O,"TP")</f>
        <v>0</v>
      </c>
      <c r="BC113" s="270" t="s">
        <v>53</v>
      </c>
      <c r="BD113" s="54" t="s">
        <v>27</v>
      </c>
      <c r="BE113" s="166">
        <f>COUNTIFS(JOURNAL!F:F,"12",JOURNAL!D:D,"THURSDAY",JOURNAL!O:O,"TP")</f>
        <v>0</v>
      </c>
      <c r="BF113" s="270" t="s">
        <v>54</v>
      </c>
      <c r="BG113" s="54" t="s">
        <v>27</v>
      </c>
      <c r="BH113" s="166">
        <f>COUNTIFS(JOURNAL!F:F,"12",JOURNAL!D:D,"FRIDAY",JOURNAL!O:O,"TP")</f>
        <v>0</v>
      </c>
    </row>
    <row r="114" spans="45:60" ht="15.75" x14ac:dyDescent="0.25">
      <c r="AS114" s="273"/>
      <c r="AT114" s="271"/>
      <c r="AU114" s="55" t="s">
        <v>29</v>
      </c>
      <c r="AV114" s="166">
        <f>COUNTIFS(JOURNAL!F:F,"12",JOURNAL!D:D,"MONDAY",JOURNAL!O:O,"SL")</f>
        <v>0</v>
      </c>
      <c r="AW114" s="271"/>
      <c r="AX114" s="55" t="s">
        <v>29</v>
      </c>
      <c r="AY114" s="166">
        <f>COUNTIFS(JOURNAL!F:F,"12",JOURNAL!D:D,"TUESDAY",JOURNAL!O:O,"SL")</f>
        <v>0</v>
      </c>
      <c r="AZ114" s="271"/>
      <c r="BA114" s="55" t="s">
        <v>29</v>
      </c>
      <c r="BB114" s="166">
        <f>COUNTIFS(JOURNAL!F:F,"12",JOURNAL!D:D,"WEDNESDAY",JOURNAL!O:O,"SL")</f>
        <v>0</v>
      </c>
      <c r="BC114" s="271"/>
      <c r="BD114" s="55" t="s">
        <v>29</v>
      </c>
      <c r="BE114" s="166">
        <f>COUNTIFS(JOURNAL!F:F,"12",JOURNAL!D:D,"THURSDAY",JOURNAL!O:O,"SL")</f>
        <v>0</v>
      </c>
      <c r="BF114" s="271"/>
      <c r="BG114" s="55" t="s">
        <v>29</v>
      </c>
      <c r="BH114" s="166">
        <f>COUNTIFS(JOURNAL!F:F,"12",JOURNAL!D:D,"FRIDAY",JOURNAL!O:O,"SL")</f>
        <v>0</v>
      </c>
    </row>
    <row r="115" spans="45:60" ht="15.75" x14ac:dyDescent="0.25">
      <c r="AS115" s="273"/>
      <c r="AT115" s="271"/>
      <c r="AU115" s="56" t="s">
        <v>32</v>
      </c>
      <c r="AV115" s="166">
        <f>COUNTIFS(JOURNAL!F:F,"12",JOURNAL!D:D,"MONDAY",JOURNAL!O:O,"RF")</f>
        <v>0</v>
      </c>
      <c r="AW115" s="271"/>
      <c r="AX115" s="56" t="s">
        <v>32</v>
      </c>
      <c r="AY115" s="166">
        <f>COUNTIFS(JOURNAL!F:F,"12",JOURNAL!D:D,"TUESDAY",JOURNAL!O:O,"RF")</f>
        <v>0</v>
      </c>
      <c r="AZ115" s="271"/>
      <c r="BA115" s="56" t="s">
        <v>32</v>
      </c>
      <c r="BB115" s="166">
        <f>COUNTIFS(JOURNAL!F:F,"12",JOURNAL!D:D,"WEDNESDAY",JOURNAL!O:O,"RF")</f>
        <v>0</v>
      </c>
      <c r="BC115" s="271"/>
      <c r="BD115" s="56" t="s">
        <v>32</v>
      </c>
      <c r="BE115" s="166">
        <f>COUNTIFS(JOURNAL!F:F,"12",JOURNAL!D:D,"THURSDAY",JOURNAL!O:O,"RF")</f>
        <v>0</v>
      </c>
      <c r="BF115" s="271"/>
      <c r="BG115" s="56" t="s">
        <v>32</v>
      </c>
      <c r="BH115" s="166">
        <f>COUNTIFS(JOURNAL!F:F,"12",JOURNAL!D:D,"FRIDAY",JOURNAL!O:O,"RF")</f>
        <v>0</v>
      </c>
    </row>
    <row r="116" spans="45:60" ht="15.75" x14ac:dyDescent="0.25">
      <c r="AS116" s="273"/>
      <c r="AT116" s="271"/>
      <c r="AU116" s="57" t="s">
        <v>30</v>
      </c>
      <c r="AV116" s="166">
        <f>COUNTIFS(JOURNAL!F:F,"12",JOURNAL!D:D,"MONDAY",JOURNAL!O:O,"PS")</f>
        <v>0</v>
      </c>
      <c r="AW116" s="271"/>
      <c r="AX116" s="57" t="s">
        <v>30</v>
      </c>
      <c r="AY116" s="166">
        <f>COUNTIFS(JOURNAL!F:F,"12",JOURNAL!D:D,"TUESDAY",JOURNAL!O:O,"PS")</f>
        <v>0</v>
      </c>
      <c r="AZ116" s="271"/>
      <c r="BA116" s="57" t="s">
        <v>30</v>
      </c>
      <c r="BB116" s="166">
        <f>COUNTIFS(JOURNAL!F:F,"12",JOURNAL!D:D,"WEDNESDAY",JOURNAL!O:O,"PS")</f>
        <v>0</v>
      </c>
      <c r="BC116" s="271"/>
      <c r="BD116" s="57" t="s">
        <v>30</v>
      </c>
      <c r="BE116" s="166">
        <f>COUNTIFS(JOURNAL!F:F,"12",JOURNAL!D:D,"THURSDAY",JOURNAL!O:O,"PS")</f>
        <v>0</v>
      </c>
      <c r="BF116" s="271"/>
      <c r="BG116" s="57" t="s">
        <v>30</v>
      </c>
      <c r="BH116" s="166">
        <f>COUNTIFS(JOURNAL!F:F,"12",JOURNAL!D:D,"FRIDAY",JOURNAL!O:O,"PS")</f>
        <v>0</v>
      </c>
    </row>
    <row r="117" spans="45:60" ht="15.75" x14ac:dyDescent="0.25">
      <c r="AS117" s="273"/>
      <c r="AT117" s="271"/>
      <c r="AU117" s="58" t="s">
        <v>31</v>
      </c>
      <c r="AV117" s="166">
        <f>COUNTIFS(JOURNAL!F:F,"12",JOURNAL!D:D,"MONDAY",JOURNAL!O:O,"LS")</f>
        <v>0</v>
      </c>
      <c r="AW117" s="271"/>
      <c r="AX117" s="58" t="s">
        <v>31</v>
      </c>
      <c r="AY117" s="166">
        <f>COUNTIFS(JOURNAL!F:F,"12",JOURNAL!D:D,"TUESDAY",JOURNAL!O:O,"LS")</f>
        <v>0</v>
      </c>
      <c r="AZ117" s="271"/>
      <c r="BA117" s="58" t="s">
        <v>31</v>
      </c>
      <c r="BB117" s="166">
        <f>COUNTIFS(JOURNAL!F:F,"12",JOURNAL!D:D,"WEDNESDAY",JOURNAL!O:O,"LS")</f>
        <v>0</v>
      </c>
      <c r="BC117" s="271"/>
      <c r="BD117" s="58" t="s">
        <v>31</v>
      </c>
      <c r="BE117" s="166">
        <f>COUNTIFS(JOURNAL!F:F,"12",JOURNAL!D:D,"THURSDAY",JOURNAL!O:O,"LS")</f>
        <v>0</v>
      </c>
      <c r="BF117" s="271"/>
      <c r="BG117" s="58" t="s">
        <v>31</v>
      </c>
      <c r="BH117" s="166">
        <f>COUNTIFS(JOURNAL!F:F,"12",JOURNAL!D:D,"FRIDAY",JOURNAL!O:O,"LS")</f>
        <v>0</v>
      </c>
    </row>
    <row r="118" spans="45:60" ht="15.75" x14ac:dyDescent="0.25">
      <c r="AS118" s="273"/>
      <c r="AT118" s="271"/>
      <c r="AU118" s="59" t="s">
        <v>33</v>
      </c>
      <c r="AV118" s="166">
        <f>COUNTIFS(JOURNAL!F:F,"12",JOURNAL!D:D,"MONDAY",JOURNAL!O:O,"OT +")</f>
        <v>0</v>
      </c>
      <c r="AW118" s="271"/>
      <c r="AX118" s="59" t="s">
        <v>33</v>
      </c>
      <c r="AY118" s="166">
        <f>COUNTIFS(JOURNAL!F:F,"12",JOURNAL!D:D,"TUESDAY",JOURNAL!O:O,"OT +")</f>
        <v>0</v>
      </c>
      <c r="AZ118" s="271"/>
      <c r="BA118" s="59" t="s">
        <v>33</v>
      </c>
      <c r="BB118" s="166">
        <f>COUNTIFS(JOURNAL!F:F,"12",JOURNAL!D:D,"WEDNESDAY",JOURNAL!O:O,"OT +")</f>
        <v>0</v>
      </c>
      <c r="BC118" s="271"/>
      <c r="BD118" s="59" t="s">
        <v>33</v>
      </c>
      <c r="BE118" s="166">
        <f>COUNTIFS(JOURNAL!F:F,"12",JOURNAL!D:D,"THURSDAY",JOURNAL!O:O,"OT +")</f>
        <v>0</v>
      </c>
      <c r="BF118" s="271"/>
      <c r="BG118" s="59" t="s">
        <v>33</v>
      </c>
      <c r="BH118" s="166">
        <f>COUNTIFS(JOURNAL!F:F,"12",JOURNAL!D:D,"FRIDAY",JOURNAL!O:O,"OT +")</f>
        <v>0</v>
      </c>
    </row>
    <row r="119" spans="45:60" ht="15.75" x14ac:dyDescent="0.25">
      <c r="AS119" s="273"/>
      <c r="AT119" s="271"/>
      <c r="AU119" s="60" t="s">
        <v>34</v>
      </c>
      <c r="AV119" s="166">
        <f>COUNTIFS(JOURNAL!F:F,"12",JOURNAL!D:D,"MONDAY",JOURNAL!O:O,"OT -")</f>
        <v>0</v>
      </c>
      <c r="AW119" s="271"/>
      <c r="AX119" s="60" t="s">
        <v>34</v>
      </c>
      <c r="AY119" s="166">
        <f>COUNTIFS(JOURNAL!F:F,"12",JOURNAL!D:D,"TUESDAY",JOURNAL!O:O,"OT -")</f>
        <v>0</v>
      </c>
      <c r="AZ119" s="271"/>
      <c r="BA119" s="60" t="s">
        <v>34</v>
      </c>
      <c r="BB119" s="166">
        <f>COUNTIFS(JOURNAL!F:F,"12",JOURNAL!D:D,"WEDNESDAY",JOURNAL!O:O,"OT -")</f>
        <v>0</v>
      </c>
      <c r="BC119" s="271"/>
      <c r="BD119" s="60" t="s">
        <v>34</v>
      </c>
      <c r="BE119" s="166">
        <f>COUNTIFS(JOURNAL!F:F,"12",JOURNAL!D:D,"THURSDAY",JOURNAL!O:O,"OT -")</f>
        <v>0</v>
      </c>
      <c r="BF119" s="271"/>
      <c r="BG119" s="60" t="s">
        <v>34</v>
      </c>
      <c r="BH119" s="166">
        <f>COUNTIFS(JOURNAL!F:F,"12",JOURNAL!D:D,"FRIDAY",JOURNAL!O:O,"OT -")</f>
        <v>0</v>
      </c>
    </row>
    <row r="120" spans="45:60" ht="15.75" x14ac:dyDescent="0.25">
      <c r="AS120" s="273"/>
      <c r="AT120" s="271"/>
      <c r="AU120" s="25" t="s">
        <v>115</v>
      </c>
      <c r="AV120" s="166">
        <f>SUM(AV113:AV119)</f>
        <v>0</v>
      </c>
      <c r="AW120" s="271"/>
      <c r="AX120" s="25" t="s">
        <v>115</v>
      </c>
      <c r="AY120" s="166">
        <f>SUM(AY113:AY119)</f>
        <v>0</v>
      </c>
      <c r="AZ120" s="271"/>
      <c r="BA120" s="25" t="s">
        <v>115</v>
      </c>
      <c r="BB120" s="166">
        <f>SUM(BB113:BB119)</f>
        <v>0</v>
      </c>
      <c r="BC120" s="271"/>
      <c r="BD120" s="25" t="s">
        <v>115</v>
      </c>
      <c r="BE120" s="166">
        <f>SUM(BE113:BE119)</f>
        <v>0</v>
      </c>
      <c r="BF120" s="271"/>
      <c r="BG120" s="25" t="s">
        <v>115</v>
      </c>
      <c r="BH120" s="166">
        <f>SUM(BH113:BH119)</f>
        <v>0</v>
      </c>
    </row>
    <row r="121" spans="45:60" ht="20.25" customHeight="1" x14ac:dyDescent="0.25">
      <c r="AS121" s="273"/>
      <c r="AT121" s="272"/>
      <c r="AU121" s="29" t="s">
        <v>44</v>
      </c>
      <c r="AV121" s="164" t="e">
        <f>SUM(AV113,AV115,AV116,AV118)/AV120</f>
        <v>#DIV/0!</v>
      </c>
      <c r="AW121" s="272"/>
      <c r="AX121" s="29" t="s">
        <v>44</v>
      </c>
      <c r="AY121" s="164" t="e">
        <f>SUM(AY113,AY115,AY116,AY118)/AY120</f>
        <v>#DIV/0!</v>
      </c>
      <c r="AZ121" s="272"/>
      <c r="BA121" s="29" t="s">
        <v>44</v>
      </c>
      <c r="BB121" s="164" t="e">
        <f>SUM(BB113,BB115,BB116,BB118)/BB120</f>
        <v>#DIV/0!</v>
      </c>
      <c r="BC121" s="272"/>
      <c r="BD121" s="29" t="s">
        <v>44</v>
      </c>
      <c r="BE121" s="164" t="e">
        <f>SUM(BE113,BE115,BE116,BE118)/BE120</f>
        <v>#DIV/0!</v>
      </c>
      <c r="BF121" s="272"/>
      <c r="BG121" s="29" t="s">
        <v>44</v>
      </c>
      <c r="BH121" s="164" t="e">
        <f>SUM(BH113,BH115,BH116,BH118)/BH120</f>
        <v>#DIV/0!</v>
      </c>
    </row>
  </sheetData>
  <sheetProtection algorithmName="SHA-512" hashValue="orySpp5Tus6ixqoL9mOZQtA5x3DQBQpZQTHrQ2mIeh5OZKOtNcqSyLqjrDlh8C9+XVKTxqMt/9ft3P37uSDjPQ==" saltValue="7GhS4b9Hq1mT92aEOsZcLw==" spinCount="100000" sheet="1" objects="1" scenarios="1"/>
  <mergeCells count="92">
    <mergeCell ref="BF113:BF121"/>
    <mergeCell ref="BF103:BF111"/>
    <mergeCell ref="AS103:AS111"/>
    <mergeCell ref="AT103:AT111"/>
    <mergeCell ref="AW103:AW111"/>
    <mergeCell ref="AZ103:AZ111"/>
    <mergeCell ref="BC103:BC111"/>
    <mergeCell ref="AS113:AS121"/>
    <mergeCell ref="AT113:AT121"/>
    <mergeCell ref="AW113:AW121"/>
    <mergeCell ref="AZ113:AZ121"/>
    <mergeCell ref="BC113:BC121"/>
    <mergeCell ref="BF93:BF101"/>
    <mergeCell ref="BF83:BF91"/>
    <mergeCell ref="AS83:AS91"/>
    <mergeCell ref="AT83:AT91"/>
    <mergeCell ref="AW83:AW91"/>
    <mergeCell ref="AZ83:AZ91"/>
    <mergeCell ref="BC83:BC91"/>
    <mergeCell ref="AS93:AS101"/>
    <mergeCell ref="AT93:AT101"/>
    <mergeCell ref="AW93:AW101"/>
    <mergeCell ref="AZ93:AZ101"/>
    <mergeCell ref="BC93:BC101"/>
    <mergeCell ref="BF73:BF81"/>
    <mergeCell ref="BF63:BF71"/>
    <mergeCell ref="AS63:AS71"/>
    <mergeCell ref="AT63:AT71"/>
    <mergeCell ref="AW63:AW71"/>
    <mergeCell ref="AZ63:AZ71"/>
    <mergeCell ref="BC63:BC71"/>
    <mergeCell ref="AS73:AS81"/>
    <mergeCell ref="AT73:AT81"/>
    <mergeCell ref="AW73:AW81"/>
    <mergeCell ref="AZ73:AZ81"/>
    <mergeCell ref="BC73:BC81"/>
    <mergeCell ref="BF53:BF61"/>
    <mergeCell ref="BF43:BF51"/>
    <mergeCell ref="AS43:AS51"/>
    <mergeCell ref="AT43:AT51"/>
    <mergeCell ref="AW43:AW51"/>
    <mergeCell ref="AZ43:AZ51"/>
    <mergeCell ref="BC43:BC51"/>
    <mergeCell ref="AS53:AS61"/>
    <mergeCell ref="AT53:AT61"/>
    <mergeCell ref="AW53:AW61"/>
    <mergeCell ref="AZ53:AZ61"/>
    <mergeCell ref="BC53:BC61"/>
    <mergeCell ref="BF33:BF41"/>
    <mergeCell ref="BF23:BF31"/>
    <mergeCell ref="AS23:AS31"/>
    <mergeCell ref="AT23:AT31"/>
    <mergeCell ref="AW23:AW31"/>
    <mergeCell ref="AZ23:AZ31"/>
    <mergeCell ref="BC23:BC31"/>
    <mergeCell ref="AS33:AS41"/>
    <mergeCell ref="AT33:AT41"/>
    <mergeCell ref="AW33:AW41"/>
    <mergeCell ref="AZ33:AZ41"/>
    <mergeCell ref="BC33:BC41"/>
    <mergeCell ref="BF13:BF21"/>
    <mergeCell ref="BF3:BF11"/>
    <mergeCell ref="AS3:AS11"/>
    <mergeCell ref="AT3:AT11"/>
    <mergeCell ref="AW3:AW11"/>
    <mergeCell ref="AZ3:AZ11"/>
    <mergeCell ref="BC3:BC11"/>
    <mergeCell ref="AS13:AS21"/>
    <mergeCell ref="AT13:AT21"/>
    <mergeCell ref="AW13:AW21"/>
    <mergeCell ref="AZ13:AZ21"/>
    <mergeCell ref="BC13:BC21"/>
    <mergeCell ref="Z3:AD3"/>
    <mergeCell ref="Z4:Z5"/>
    <mergeCell ref="AA4:AB5"/>
    <mergeCell ref="Z6:Z11"/>
    <mergeCell ref="T3:X3"/>
    <mergeCell ref="T4:T5"/>
    <mergeCell ref="U4:V5"/>
    <mergeCell ref="N3:R3"/>
    <mergeCell ref="N4:N5"/>
    <mergeCell ref="O4:P5"/>
    <mergeCell ref="N6:N11"/>
    <mergeCell ref="T6:T11"/>
    <mergeCell ref="B3:F3"/>
    <mergeCell ref="B4:B5"/>
    <mergeCell ref="C4:D5"/>
    <mergeCell ref="B6:B11"/>
    <mergeCell ref="H3:L3"/>
    <mergeCell ref="H4:H5"/>
    <mergeCell ref="I4:J5"/>
    <mergeCell ref="H6:H11"/>
  </mergeCells>
  <conditionalFormatting sqref="F11">
    <cfRule type="cellIs" dxfId="912" priority="609" operator="lessThan">
      <formula>0</formula>
    </cfRule>
    <cfRule type="cellIs" dxfId="911" priority="610" operator="greaterThan">
      <formula>0</formula>
    </cfRule>
    <cfRule type="cellIs" dxfId="910" priority="611" operator="equal">
      <formula>0</formula>
    </cfRule>
    <cfRule type="cellIs" dxfId="909" priority="612" operator="equal">
      <formula>0</formula>
    </cfRule>
    <cfRule type="cellIs" dxfId="908" priority="613" operator="equal">
      <formula>0</formula>
    </cfRule>
  </conditionalFormatting>
  <conditionalFormatting sqref="L11">
    <cfRule type="cellIs" dxfId="907" priority="601" operator="lessThan">
      <formula>0</formula>
    </cfRule>
    <cfRule type="cellIs" dxfId="906" priority="602" operator="greaterThan">
      <formula>0</formula>
    </cfRule>
    <cfRule type="cellIs" dxfId="905" priority="603" operator="equal">
      <formula>0</formula>
    </cfRule>
    <cfRule type="cellIs" dxfId="904" priority="604" operator="equal">
      <formula>0</formula>
    </cfRule>
    <cfRule type="cellIs" dxfId="903" priority="605" operator="equal">
      <formula>0</formula>
    </cfRule>
  </conditionalFormatting>
  <conditionalFormatting sqref="R11">
    <cfRule type="cellIs" dxfId="902" priority="593" operator="lessThan">
      <formula>0</formula>
    </cfRule>
    <cfRule type="cellIs" dxfId="901" priority="594" operator="greaterThan">
      <formula>0</formula>
    </cfRule>
    <cfRule type="cellIs" dxfId="900" priority="595" operator="equal">
      <formula>0</formula>
    </cfRule>
    <cfRule type="cellIs" dxfId="899" priority="596" operator="equal">
      <formula>0</formula>
    </cfRule>
    <cfRule type="cellIs" dxfId="898" priority="597" operator="equal">
      <formula>0</formula>
    </cfRule>
  </conditionalFormatting>
  <conditionalFormatting sqref="X11">
    <cfRule type="cellIs" dxfId="897" priority="585" operator="lessThan">
      <formula>0</formula>
    </cfRule>
    <cfRule type="cellIs" dxfId="896" priority="586" operator="greaterThan">
      <formula>0</formula>
    </cfRule>
    <cfRule type="cellIs" dxfId="895" priority="587" operator="equal">
      <formula>0</formula>
    </cfRule>
    <cfRule type="cellIs" dxfId="894" priority="588" operator="equal">
      <formula>0</formula>
    </cfRule>
    <cfRule type="cellIs" dxfId="893" priority="589" operator="equal">
      <formula>0</formula>
    </cfRule>
  </conditionalFormatting>
  <conditionalFormatting sqref="AD11">
    <cfRule type="cellIs" dxfId="892" priority="577" operator="lessThan">
      <formula>0</formula>
    </cfRule>
    <cfRule type="cellIs" dxfId="891" priority="578" operator="greaterThan">
      <formula>0</formula>
    </cfRule>
    <cfRule type="cellIs" dxfId="890" priority="579" operator="equal">
      <formula>0</formula>
    </cfRule>
    <cfRule type="cellIs" dxfId="889" priority="580" operator="equal">
      <formula>0</formula>
    </cfRule>
    <cfRule type="cellIs" dxfId="888" priority="581" operator="equal">
      <formula>0</formula>
    </cfRule>
  </conditionalFormatting>
  <conditionalFormatting sqref="AV11">
    <cfRule type="cellIs" dxfId="887" priority="571" operator="lessThan">
      <formula>0</formula>
    </cfRule>
    <cfRule type="cellIs" dxfId="886" priority="572" operator="greaterThan">
      <formula>0</formula>
    </cfRule>
    <cfRule type="cellIs" dxfId="885" priority="573" operator="equal">
      <formula>0</formula>
    </cfRule>
  </conditionalFormatting>
  <conditionalFormatting sqref="AY11">
    <cfRule type="cellIs" dxfId="884" priority="175" operator="lessThan">
      <formula>0</formula>
    </cfRule>
    <cfRule type="cellIs" dxfId="883" priority="176" operator="greaterThan">
      <formula>0</formula>
    </cfRule>
    <cfRule type="cellIs" dxfId="882" priority="177" operator="equal">
      <formula>0</formula>
    </cfRule>
  </conditionalFormatting>
  <conditionalFormatting sqref="BB11">
    <cfRule type="cellIs" dxfId="881" priority="172" operator="lessThan">
      <formula>0</formula>
    </cfRule>
    <cfRule type="cellIs" dxfId="880" priority="173" operator="greaterThan">
      <formula>0</formula>
    </cfRule>
    <cfRule type="cellIs" dxfId="879" priority="174" operator="equal">
      <formula>0</formula>
    </cfRule>
  </conditionalFormatting>
  <conditionalFormatting sqref="BE11">
    <cfRule type="cellIs" dxfId="878" priority="169" operator="lessThan">
      <formula>0</formula>
    </cfRule>
    <cfRule type="cellIs" dxfId="877" priority="170" operator="greaterThan">
      <formula>0</formula>
    </cfRule>
    <cfRule type="cellIs" dxfId="876" priority="171" operator="equal">
      <formula>0</formula>
    </cfRule>
  </conditionalFormatting>
  <conditionalFormatting sqref="BH11">
    <cfRule type="cellIs" dxfId="875" priority="166" operator="lessThan">
      <formula>0</formula>
    </cfRule>
    <cfRule type="cellIs" dxfId="874" priority="167" operator="greaterThan">
      <formula>0</formula>
    </cfRule>
    <cfRule type="cellIs" dxfId="873" priority="168" operator="equal">
      <formula>0</formula>
    </cfRule>
  </conditionalFormatting>
  <conditionalFormatting sqref="AV21">
    <cfRule type="cellIs" dxfId="872" priority="163" operator="lessThan">
      <formula>0</formula>
    </cfRule>
    <cfRule type="cellIs" dxfId="871" priority="164" operator="greaterThan">
      <formula>0</formula>
    </cfRule>
    <cfRule type="cellIs" dxfId="870" priority="165" operator="equal">
      <formula>0</formula>
    </cfRule>
  </conditionalFormatting>
  <conditionalFormatting sqref="AY21">
    <cfRule type="cellIs" dxfId="869" priority="160" operator="lessThan">
      <formula>0</formula>
    </cfRule>
    <cfRule type="cellIs" dxfId="868" priority="161" operator="greaterThan">
      <formula>0</formula>
    </cfRule>
    <cfRule type="cellIs" dxfId="867" priority="162" operator="equal">
      <formula>0</formula>
    </cfRule>
  </conditionalFormatting>
  <conditionalFormatting sqref="BB21">
    <cfRule type="cellIs" dxfId="866" priority="157" operator="lessThan">
      <formula>0</formula>
    </cfRule>
    <cfRule type="cellIs" dxfId="865" priority="158" operator="greaterThan">
      <formula>0</formula>
    </cfRule>
    <cfRule type="cellIs" dxfId="864" priority="159" operator="equal">
      <formula>0</formula>
    </cfRule>
  </conditionalFormatting>
  <conditionalFormatting sqref="BE21">
    <cfRule type="cellIs" dxfId="863" priority="154" operator="lessThan">
      <formula>0</formula>
    </cfRule>
    <cfRule type="cellIs" dxfId="862" priority="155" operator="greaterThan">
      <formula>0</formula>
    </cfRule>
    <cfRule type="cellIs" dxfId="861" priority="156" operator="equal">
      <formula>0</formula>
    </cfRule>
  </conditionalFormatting>
  <conditionalFormatting sqref="BH21">
    <cfRule type="cellIs" dxfId="860" priority="151" operator="lessThan">
      <formula>0</formula>
    </cfRule>
    <cfRule type="cellIs" dxfId="859" priority="152" operator="greaterThan">
      <formula>0</formula>
    </cfRule>
    <cfRule type="cellIs" dxfId="858" priority="153" operator="equal">
      <formula>0</formula>
    </cfRule>
  </conditionalFormatting>
  <conditionalFormatting sqref="AV31">
    <cfRule type="cellIs" dxfId="857" priority="148" operator="lessThan">
      <formula>0</formula>
    </cfRule>
    <cfRule type="cellIs" dxfId="856" priority="149" operator="greaterThan">
      <formula>0</formula>
    </cfRule>
    <cfRule type="cellIs" dxfId="855" priority="150" operator="equal">
      <formula>0</formula>
    </cfRule>
  </conditionalFormatting>
  <conditionalFormatting sqref="AY31">
    <cfRule type="cellIs" dxfId="854" priority="145" operator="lessThan">
      <formula>0</formula>
    </cfRule>
    <cfRule type="cellIs" dxfId="853" priority="146" operator="greaterThan">
      <formula>0</formula>
    </cfRule>
    <cfRule type="cellIs" dxfId="852" priority="147" operator="equal">
      <formula>0</formula>
    </cfRule>
  </conditionalFormatting>
  <conditionalFormatting sqref="BB31">
    <cfRule type="cellIs" dxfId="851" priority="142" operator="lessThan">
      <formula>0</formula>
    </cfRule>
    <cfRule type="cellIs" dxfId="850" priority="143" operator="greaterThan">
      <formula>0</formula>
    </cfRule>
    <cfRule type="cellIs" dxfId="849" priority="144" operator="equal">
      <formula>0</formula>
    </cfRule>
  </conditionalFormatting>
  <conditionalFormatting sqref="BE31">
    <cfRule type="cellIs" dxfId="848" priority="139" operator="lessThan">
      <formula>0</formula>
    </cfRule>
    <cfRule type="cellIs" dxfId="847" priority="140" operator="greaterThan">
      <formula>0</formula>
    </cfRule>
    <cfRule type="cellIs" dxfId="846" priority="141" operator="equal">
      <formula>0</formula>
    </cfRule>
  </conditionalFormatting>
  <conditionalFormatting sqref="BH31">
    <cfRule type="cellIs" dxfId="845" priority="136" operator="lessThan">
      <formula>0</formula>
    </cfRule>
    <cfRule type="cellIs" dxfId="844" priority="137" operator="greaterThan">
      <formula>0</formula>
    </cfRule>
    <cfRule type="cellIs" dxfId="843" priority="138" operator="equal">
      <formula>0</formula>
    </cfRule>
  </conditionalFormatting>
  <conditionalFormatting sqref="AV41">
    <cfRule type="cellIs" dxfId="842" priority="133" operator="lessThan">
      <formula>0</formula>
    </cfRule>
    <cfRule type="cellIs" dxfId="841" priority="134" operator="greaterThan">
      <formula>0</formula>
    </cfRule>
    <cfRule type="cellIs" dxfId="840" priority="135" operator="equal">
      <formula>0</formula>
    </cfRule>
  </conditionalFormatting>
  <conditionalFormatting sqref="AY41">
    <cfRule type="cellIs" dxfId="839" priority="130" operator="lessThan">
      <formula>0</formula>
    </cfRule>
    <cfRule type="cellIs" dxfId="838" priority="131" operator="greaterThan">
      <formula>0</formula>
    </cfRule>
    <cfRule type="cellIs" dxfId="837" priority="132" operator="equal">
      <formula>0</formula>
    </cfRule>
  </conditionalFormatting>
  <conditionalFormatting sqref="BB41">
    <cfRule type="cellIs" dxfId="836" priority="127" operator="lessThan">
      <formula>0</formula>
    </cfRule>
    <cfRule type="cellIs" dxfId="835" priority="128" operator="greaterThan">
      <formula>0</formula>
    </cfRule>
    <cfRule type="cellIs" dxfId="834" priority="129" operator="equal">
      <formula>0</formula>
    </cfRule>
  </conditionalFormatting>
  <conditionalFormatting sqref="BE41">
    <cfRule type="cellIs" dxfId="833" priority="124" operator="lessThan">
      <formula>0</formula>
    </cfRule>
    <cfRule type="cellIs" dxfId="832" priority="125" operator="greaterThan">
      <formula>0</formula>
    </cfRule>
    <cfRule type="cellIs" dxfId="831" priority="126" operator="equal">
      <formula>0</formula>
    </cfRule>
  </conditionalFormatting>
  <conditionalFormatting sqref="BH41">
    <cfRule type="cellIs" dxfId="830" priority="121" operator="lessThan">
      <formula>0</formula>
    </cfRule>
    <cfRule type="cellIs" dxfId="829" priority="122" operator="greaterThan">
      <formula>0</formula>
    </cfRule>
    <cfRule type="cellIs" dxfId="828" priority="123" operator="equal">
      <formula>0</formula>
    </cfRule>
  </conditionalFormatting>
  <conditionalFormatting sqref="AV51">
    <cfRule type="cellIs" dxfId="827" priority="118" operator="lessThan">
      <formula>0</formula>
    </cfRule>
    <cfRule type="cellIs" dxfId="826" priority="119" operator="greaterThan">
      <formula>0</formula>
    </cfRule>
    <cfRule type="cellIs" dxfId="825" priority="120" operator="equal">
      <formula>0</formula>
    </cfRule>
  </conditionalFormatting>
  <conditionalFormatting sqref="AY51">
    <cfRule type="cellIs" dxfId="824" priority="115" operator="lessThan">
      <formula>0</formula>
    </cfRule>
    <cfRule type="cellIs" dxfId="823" priority="116" operator="greaterThan">
      <formula>0</formula>
    </cfRule>
    <cfRule type="cellIs" dxfId="822" priority="117" operator="equal">
      <formula>0</formula>
    </cfRule>
  </conditionalFormatting>
  <conditionalFormatting sqref="BB51">
    <cfRule type="cellIs" dxfId="821" priority="112" operator="lessThan">
      <formula>0</formula>
    </cfRule>
    <cfRule type="cellIs" dxfId="820" priority="113" operator="greaterThan">
      <formula>0</formula>
    </cfRule>
    <cfRule type="cellIs" dxfId="819" priority="114" operator="equal">
      <formula>0</formula>
    </cfRule>
  </conditionalFormatting>
  <conditionalFormatting sqref="BE51">
    <cfRule type="cellIs" dxfId="818" priority="109" operator="lessThan">
      <formula>0</formula>
    </cfRule>
    <cfRule type="cellIs" dxfId="817" priority="110" operator="greaterThan">
      <formula>0</formula>
    </cfRule>
    <cfRule type="cellIs" dxfId="816" priority="111" operator="equal">
      <formula>0</formula>
    </cfRule>
  </conditionalFormatting>
  <conditionalFormatting sqref="BH51">
    <cfRule type="cellIs" dxfId="815" priority="106" operator="lessThan">
      <formula>0</formula>
    </cfRule>
    <cfRule type="cellIs" dxfId="814" priority="107" operator="greaterThan">
      <formula>0</formula>
    </cfRule>
    <cfRule type="cellIs" dxfId="813" priority="108" operator="equal">
      <formula>0</formula>
    </cfRule>
  </conditionalFormatting>
  <conditionalFormatting sqref="AV61">
    <cfRule type="cellIs" dxfId="812" priority="103" operator="lessThan">
      <formula>0</formula>
    </cfRule>
    <cfRule type="cellIs" dxfId="811" priority="104" operator="greaterThan">
      <formula>0</formula>
    </cfRule>
    <cfRule type="cellIs" dxfId="810" priority="105" operator="equal">
      <formula>0</formula>
    </cfRule>
  </conditionalFormatting>
  <conditionalFormatting sqref="AY61">
    <cfRule type="cellIs" dxfId="809" priority="100" operator="lessThan">
      <formula>0</formula>
    </cfRule>
    <cfRule type="cellIs" dxfId="808" priority="101" operator="greaterThan">
      <formula>0</formula>
    </cfRule>
    <cfRule type="cellIs" dxfId="807" priority="102" operator="equal">
      <formula>0</formula>
    </cfRule>
  </conditionalFormatting>
  <conditionalFormatting sqref="BB61">
    <cfRule type="cellIs" dxfId="806" priority="97" operator="lessThan">
      <formula>0</formula>
    </cfRule>
    <cfRule type="cellIs" dxfId="805" priority="98" operator="greaterThan">
      <formula>0</formula>
    </cfRule>
    <cfRule type="cellIs" dxfId="804" priority="99" operator="equal">
      <formula>0</formula>
    </cfRule>
  </conditionalFormatting>
  <conditionalFormatting sqref="BE61">
    <cfRule type="cellIs" dxfId="803" priority="94" operator="lessThan">
      <formula>0</formula>
    </cfRule>
    <cfRule type="cellIs" dxfId="802" priority="95" operator="greaterThan">
      <formula>0</formula>
    </cfRule>
    <cfRule type="cellIs" dxfId="801" priority="96" operator="equal">
      <formula>0</formula>
    </cfRule>
  </conditionalFormatting>
  <conditionalFormatting sqref="BH61">
    <cfRule type="cellIs" dxfId="800" priority="91" operator="lessThan">
      <formula>0</formula>
    </cfRule>
    <cfRule type="cellIs" dxfId="799" priority="92" operator="greaterThan">
      <formula>0</formula>
    </cfRule>
    <cfRule type="cellIs" dxfId="798" priority="93" operator="equal">
      <formula>0</formula>
    </cfRule>
  </conditionalFormatting>
  <conditionalFormatting sqref="AV71">
    <cfRule type="cellIs" dxfId="797" priority="88" operator="lessThan">
      <formula>0</formula>
    </cfRule>
    <cfRule type="cellIs" dxfId="796" priority="89" operator="greaterThan">
      <formula>0</formula>
    </cfRule>
    <cfRule type="cellIs" dxfId="795" priority="90" operator="equal">
      <formula>0</formula>
    </cfRule>
  </conditionalFormatting>
  <conditionalFormatting sqref="AY71">
    <cfRule type="cellIs" dxfId="794" priority="85" operator="lessThan">
      <formula>0</formula>
    </cfRule>
    <cfRule type="cellIs" dxfId="793" priority="86" operator="greaterThan">
      <formula>0</formula>
    </cfRule>
    <cfRule type="cellIs" dxfId="792" priority="87" operator="equal">
      <formula>0</formula>
    </cfRule>
  </conditionalFormatting>
  <conditionalFormatting sqref="BB71">
    <cfRule type="cellIs" dxfId="791" priority="82" operator="lessThan">
      <formula>0</formula>
    </cfRule>
    <cfRule type="cellIs" dxfId="790" priority="83" operator="greaterThan">
      <formula>0</formula>
    </cfRule>
    <cfRule type="cellIs" dxfId="789" priority="84" operator="equal">
      <formula>0</formula>
    </cfRule>
  </conditionalFormatting>
  <conditionalFormatting sqref="BE71">
    <cfRule type="cellIs" dxfId="788" priority="79" operator="lessThan">
      <formula>0</formula>
    </cfRule>
    <cfRule type="cellIs" dxfId="787" priority="80" operator="greaterThan">
      <formula>0</formula>
    </cfRule>
    <cfRule type="cellIs" dxfId="786" priority="81" operator="equal">
      <formula>0</formula>
    </cfRule>
  </conditionalFormatting>
  <conditionalFormatting sqref="BH71">
    <cfRule type="cellIs" dxfId="785" priority="76" operator="lessThan">
      <formula>0</formula>
    </cfRule>
    <cfRule type="cellIs" dxfId="784" priority="77" operator="greaterThan">
      <formula>0</formula>
    </cfRule>
    <cfRule type="cellIs" dxfId="783" priority="78" operator="equal">
      <formula>0</formula>
    </cfRule>
  </conditionalFormatting>
  <conditionalFormatting sqref="AV81">
    <cfRule type="cellIs" dxfId="782" priority="73" operator="lessThan">
      <formula>0</formula>
    </cfRule>
    <cfRule type="cellIs" dxfId="781" priority="74" operator="greaterThan">
      <formula>0</formula>
    </cfRule>
    <cfRule type="cellIs" dxfId="780" priority="75" operator="equal">
      <formula>0</formula>
    </cfRule>
  </conditionalFormatting>
  <conditionalFormatting sqref="AY81">
    <cfRule type="cellIs" dxfId="779" priority="70" operator="lessThan">
      <formula>0</formula>
    </cfRule>
    <cfRule type="cellIs" dxfId="778" priority="71" operator="greaterThan">
      <formula>0</formula>
    </cfRule>
    <cfRule type="cellIs" dxfId="777" priority="72" operator="equal">
      <formula>0</formula>
    </cfRule>
  </conditionalFormatting>
  <conditionalFormatting sqref="BB81">
    <cfRule type="cellIs" dxfId="776" priority="67" operator="lessThan">
      <formula>0</formula>
    </cfRule>
    <cfRule type="cellIs" dxfId="775" priority="68" operator="greaterThan">
      <formula>0</formula>
    </cfRule>
    <cfRule type="cellIs" dxfId="774" priority="69" operator="equal">
      <formula>0</formula>
    </cfRule>
  </conditionalFormatting>
  <conditionalFormatting sqref="BE81">
    <cfRule type="cellIs" dxfId="773" priority="64" operator="lessThan">
      <formula>0</formula>
    </cfRule>
    <cfRule type="cellIs" dxfId="772" priority="65" operator="greaterThan">
      <formula>0</formula>
    </cfRule>
    <cfRule type="cellIs" dxfId="771" priority="66" operator="equal">
      <formula>0</formula>
    </cfRule>
  </conditionalFormatting>
  <conditionalFormatting sqref="BH81">
    <cfRule type="cellIs" dxfId="770" priority="61" operator="lessThan">
      <formula>0</formula>
    </cfRule>
    <cfRule type="cellIs" dxfId="769" priority="62" operator="greaterThan">
      <formula>0</formula>
    </cfRule>
    <cfRule type="cellIs" dxfId="768" priority="63" operator="equal">
      <formula>0</formula>
    </cfRule>
  </conditionalFormatting>
  <conditionalFormatting sqref="AV91">
    <cfRule type="cellIs" dxfId="767" priority="58" operator="lessThan">
      <formula>0</formula>
    </cfRule>
    <cfRule type="cellIs" dxfId="766" priority="59" operator="greaterThan">
      <formula>0</formula>
    </cfRule>
    <cfRule type="cellIs" dxfId="765" priority="60" operator="equal">
      <formula>0</formula>
    </cfRule>
  </conditionalFormatting>
  <conditionalFormatting sqref="AY91">
    <cfRule type="cellIs" dxfId="764" priority="55" operator="lessThan">
      <formula>0</formula>
    </cfRule>
    <cfRule type="cellIs" dxfId="763" priority="56" operator="greaterThan">
      <formula>0</formula>
    </cfRule>
    <cfRule type="cellIs" dxfId="762" priority="57" operator="equal">
      <formula>0</formula>
    </cfRule>
  </conditionalFormatting>
  <conditionalFormatting sqref="BB91">
    <cfRule type="cellIs" dxfId="761" priority="52" operator="lessThan">
      <formula>0</formula>
    </cfRule>
    <cfRule type="cellIs" dxfId="760" priority="53" operator="greaterThan">
      <formula>0</formula>
    </cfRule>
    <cfRule type="cellIs" dxfId="759" priority="54" operator="equal">
      <formula>0</formula>
    </cfRule>
  </conditionalFormatting>
  <conditionalFormatting sqref="BE91">
    <cfRule type="cellIs" dxfId="758" priority="49" operator="lessThan">
      <formula>0</formula>
    </cfRule>
    <cfRule type="cellIs" dxfId="757" priority="50" operator="greaterThan">
      <formula>0</formula>
    </cfRule>
    <cfRule type="cellIs" dxfId="756" priority="51" operator="equal">
      <formula>0</formula>
    </cfRule>
  </conditionalFormatting>
  <conditionalFormatting sqref="BH91">
    <cfRule type="cellIs" dxfId="755" priority="46" operator="lessThan">
      <formula>0</formula>
    </cfRule>
    <cfRule type="cellIs" dxfId="754" priority="47" operator="greaterThan">
      <formula>0</formula>
    </cfRule>
    <cfRule type="cellIs" dxfId="753" priority="48" operator="equal">
      <formula>0</formula>
    </cfRule>
  </conditionalFormatting>
  <conditionalFormatting sqref="AV101">
    <cfRule type="cellIs" dxfId="752" priority="43" operator="lessThan">
      <formula>0</formula>
    </cfRule>
    <cfRule type="cellIs" dxfId="751" priority="44" operator="greaterThan">
      <formula>0</formula>
    </cfRule>
    <cfRule type="cellIs" dxfId="750" priority="45" operator="equal">
      <formula>0</formula>
    </cfRule>
  </conditionalFormatting>
  <conditionalFormatting sqref="AY101">
    <cfRule type="cellIs" dxfId="749" priority="40" operator="lessThan">
      <formula>0</formula>
    </cfRule>
    <cfRule type="cellIs" dxfId="748" priority="41" operator="greaterThan">
      <formula>0</formula>
    </cfRule>
    <cfRule type="cellIs" dxfId="747" priority="42" operator="equal">
      <formula>0</formula>
    </cfRule>
  </conditionalFormatting>
  <conditionalFormatting sqref="BB101">
    <cfRule type="cellIs" dxfId="746" priority="37" operator="lessThan">
      <formula>0</formula>
    </cfRule>
    <cfRule type="cellIs" dxfId="745" priority="38" operator="greaterThan">
      <formula>0</formula>
    </cfRule>
    <cfRule type="cellIs" dxfId="744" priority="39" operator="equal">
      <formula>0</formula>
    </cfRule>
  </conditionalFormatting>
  <conditionalFormatting sqref="BE101">
    <cfRule type="cellIs" dxfId="743" priority="34" operator="lessThan">
      <formula>0</formula>
    </cfRule>
    <cfRule type="cellIs" dxfId="742" priority="35" operator="greaterThan">
      <formula>0</formula>
    </cfRule>
    <cfRule type="cellIs" dxfId="741" priority="36" operator="equal">
      <formula>0</formula>
    </cfRule>
  </conditionalFormatting>
  <conditionalFormatting sqref="BH101">
    <cfRule type="cellIs" dxfId="740" priority="31" operator="lessThan">
      <formula>0</formula>
    </cfRule>
    <cfRule type="cellIs" dxfId="739" priority="32" operator="greaterThan">
      <formula>0</formula>
    </cfRule>
    <cfRule type="cellIs" dxfId="738" priority="33" operator="equal">
      <formula>0</formula>
    </cfRule>
  </conditionalFormatting>
  <conditionalFormatting sqref="BH121">
    <cfRule type="cellIs" dxfId="737" priority="1" operator="lessThan">
      <formula>0</formula>
    </cfRule>
    <cfRule type="cellIs" dxfId="736" priority="2" operator="greaterThan">
      <formula>0</formula>
    </cfRule>
    <cfRule type="cellIs" dxfId="735" priority="3" operator="equal">
      <formula>0</formula>
    </cfRule>
  </conditionalFormatting>
  <conditionalFormatting sqref="AV111">
    <cfRule type="cellIs" dxfId="734" priority="28" operator="lessThan">
      <formula>0</formula>
    </cfRule>
    <cfRule type="cellIs" dxfId="733" priority="29" operator="greaterThan">
      <formula>0</formula>
    </cfRule>
    <cfRule type="cellIs" dxfId="732" priority="30" operator="equal">
      <formula>0</formula>
    </cfRule>
  </conditionalFormatting>
  <conditionalFormatting sqref="AY111">
    <cfRule type="cellIs" dxfId="731" priority="25" operator="lessThan">
      <formula>0</formula>
    </cfRule>
    <cfRule type="cellIs" dxfId="730" priority="26" operator="greaterThan">
      <formula>0</formula>
    </cfRule>
    <cfRule type="cellIs" dxfId="729" priority="27" operator="equal">
      <formula>0</formula>
    </cfRule>
  </conditionalFormatting>
  <conditionalFormatting sqref="BB111">
    <cfRule type="cellIs" dxfId="728" priority="22" operator="lessThan">
      <formula>0</formula>
    </cfRule>
    <cfRule type="cellIs" dxfId="727" priority="23" operator="greaterThan">
      <formula>0</formula>
    </cfRule>
    <cfRule type="cellIs" dxfId="726" priority="24" operator="equal">
      <formula>0</formula>
    </cfRule>
  </conditionalFormatting>
  <conditionalFormatting sqref="BE111">
    <cfRule type="cellIs" dxfId="725" priority="19" operator="lessThan">
      <formula>0</formula>
    </cfRule>
    <cfRule type="cellIs" dxfId="724" priority="20" operator="greaterThan">
      <formula>0</formula>
    </cfRule>
    <cfRule type="cellIs" dxfId="723" priority="21" operator="equal">
      <formula>0</formula>
    </cfRule>
  </conditionalFormatting>
  <conditionalFormatting sqref="BH111">
    <cfRule type="cellIs" dxfId="722" priority="16" operator="lessThan">
      <formula>0</formula>
    </cfRule>
    <cfRule type="cellIs" dxfId="721" priority="17" operator="greaterThan">
      <formula>0</formula>
    </cfRule>
    <cfRule type="cellIs" dxfId="720" priority="18" operator="equal">
      <formula>0</formula>
    </cfRule>
  </conditionalFormatting>
  <conditionalFormatting sqref="AV121">
    <cfRule type="cellIs" dxfId="719" priority="13" operator="lessThan">
      <formula>0</formula>
    </cfRule>
    <cfRule type="cellIs" dxfId="718" priority="14" operator="greaterThan">
      <formula>0</formula>
    </cfRule>
    <cfRule type="cellIs" dxfId="717" priority="15" operator="equal">
      <formula>0</formula>
    </cfRule>
  </conditionalFormatting>
  <conditionalFormatting sqref="AY121">
    <cfRule type="cellIs" dxfId="716" priority="10" operator="lessThan">
      <formula>0</formula>
    </cfRule>
    <cfRule type="cellIs" dxfId="715" priority="11" operator="greaterThan">
      <formula>0</formula>
    </cfRule>
    <cfRule type="cellIs" dxfId="714" priority="12" operator="equal">
      <formula>0</formula>
    </cfRule>
  </conditionalFormatting>
  <conditionalFormatting sqref="BB121">
    <cfRule type="cellIs" dxfId="713" priority="7" operator="lessThan">
      <formula>0</formula>
    </cfRule>
    <cfRule type="cellIs" dxfId="712" priority="8" operator="greaterThan">
      <formula>0</formula>
    </cfRule>
    <cfRule type="cellIs" dxfId="711" priority="9" operator="equal">
      <formula>0</formula>
    </cfRule>
  </conditionalFormatting>
  <conditionalFormatting sqref="BE121">
    <cfRule type="cellIs" dxfId="710" priority="4" operator="lessThan">
      <formula>0</formula>
    </cfRule>
    <cfRule type="cellIs" dxfId="709" priority="5" operator="greaterThan">
      <formula>0</formula>
    </cfRule>
    <cfRule type="cellIs" dxfId="708" priority="6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T120"/>
  <sheetViews>
    <sheetView topLeftCell="X15" zoomScaleNormal="100" workbookViewId="0">
      <selection activeCell="BC19" sqref="BC19"/>
    </sheetView>
  </sheetViews>
  <sheetFormatPr defaultRowHeight="15" x14ac:dyDescent="0.25"/>
  <cols>
    <col min="1" max="2" width="9.140625" style="53"/>
    <col min="3" max="3" width="15" style="53" customWidth="1"/>
    <col min="4" max="4" width="11.42578125" style="53" customWidth="1"/>
    <col min="5" max="5" width="7.42578125" style="53" customWidth="1"/>
    <col min="6" max="6" width="9.7109375" style="53" customWidth="1"/>
    <col min="7" max="7" width="9" style="53" customWidth="1"/>
    <col min="8" max="8" width="9.140625" style="53"/>
    <col min="9" max="9" width="15.5703125" style="53" customWidth="1"/>
    <col min="10" max="10" width="11.42578125" style="53" customWidth="1"/>
    <col min="11" max="11" width="7.28515625" style="53" customWidth="1"/>
    <col min="12" max="12" width="9.5703125" style="53" customWidth="1"/>
    <col min="13" max="13" width="8.140625" style="53" customWidth="1"/>
    <col min="14" max="14" width="9.140625" style="53"/>
    <col min="15" max="15" width="15" style="53" customWidth="1"/>
    <col min="16" max="16" width="11.85546875" style="53" customWidth="1"/>
    <col min="17" max="17" width="7.5703125" style="53" customWidth="1"/>
    <col min="18" max="18" width="9.7109375" style="53" customWidth="1"/>
    <col min="19" max="19" width="8.5703125" style="53" customWidth="1"/>
    <col min="20" max="20" width="9.140625" style="53"/>
    <col min="21" max="21" width="16.5703125" style="53" customWidth="1"/>
    <col min="22" max="22" width="11.42578125" style="53" customWidth="1"/>
    <col min="23" max="23" width="8" style="53" customWidth="1"/>
    <col min="24" max="24" width="9.85546875" style="53" customWidth="1"/>
    <col min="25" max="25" width="8.42578125" style="53" customWidth="1"/>
    <col min="26" max="26" width="9.140625" style="53"/>
    <col min="27" max="27" width="15.140625" style="53" customWidth="1"/>
    <col min="28" max="28" width="12.7109375" style="53" customWidth="1"/>
    <col min="29" max="29" width="11.85546875" style="53" customWidth="1"/>
    <col min="30" max="30" width="9.140625" style="53"/>
    <col min="31" max="31" width="15.7109375" style="53" customWidth="1"/>
    <col min="32" max="39" width="9.140625" style="53"/>
    <col min="40" max="40" width="13.85546875" style="53" customWidth="1"/>
    <col min="41" max="41" width="7.7109375" style="53" customWidth="1"/>
    <col min="42" max="42" width="7.28515625" style="53" customWidth="1"/>
    <col min="43" max="43" width="5.7109375" style="53" customWidth="1"/>
    <col min="44" max="44" width="9.28515625" style="53" customWidth="1"/>
    <col min="45" max="45" width="8.7109375" style="53" customWidth="1"/>
    <col min="46" max="46" width="5.85546875" style="53" customWidth="1"/>
    <col min="47" max="47" width="9.28515625" style="53" customWidth="1"/>
    <col min="48" max="48" width="9.42578125" style="53" customWidth="1"/>
    <col min="49" max="49" width="5.42578125" style="53" customWidth="1"/>
    <col min="50" max="51" width="9.140625" style="53"/>
    <col min="52" max="52" width="5.42578125" style="53" customWidth="1"/>
    <col min="53" max="54" width="9.140625" style="53"/>
    <col min="55" max="55" width="5.5703125" style="53" customWidth="1"/>
    <col min="56" max="57" width="9.140625" style="53"/>
    <col min="58" max="58" width="5.5703125" style="53" customWidth="1"/>
    <col min="59" max="60" width="9.140625" style="53"/>
    <col min="61" max="61" width="6.140625" style="53" customWidth="1"/>
    <col min="62" max="63" width="9.140625" style="53"/>
    <col min="64" max="64" width="5.85546875" style="53" customWidth="1"/>
    <col min="65" max="66" width="9.140625" style="53"/>
    <col min="67" max="67" width="5.42578125" style="53" customWidth="1"/>
    <col min="68" max="68" width="9.140625" style="53"/>
    <col min="69" max="69" width="9" style="53" customWidth="1"/>
    <col min="70" max="70" width="5.5703125" style="53" customWidth="1"/>
    <col min="71" max="71" width="9.140625" style="53"/>
    <col min="72" max="72" width="8.5703125" style="53" customWidth="1"/>
    <col min="73" max="16384" width="9.140625" style="53"/>
  </cols>
  <sheetData>
    <row r="2" spans="3:72" ht="23.25" customHeight="1" x14ac:dyDescent="0.25">
      <c r="C2" s="267">
        <v>2</v>
      </c>
      <c r="D2" s="268"/>
      <c r="E2" s="268"/>
      <c r="F2" s="268"/>
      <c r="G2" s="269"/>
      <c r="I2" s="267">
        <v>4</v>
      </c>
      <c r="J2" s="268"/>
      <c r="K2" s="268"/>
      <c r="L2" s="268"/>
      <c r="M2" s="269"/>
      <c r="O2" s="267" t="s">
        <v>66</v>
      </c>
      <c r="P2" s="268"/>
      <c r="Q2" s="268"/>
      <c r="R2" s="268"/>
      <c r="S2" s="269"/>
      <c r="U2" s="267" t="s">
        <v>151</v>
      </c>
      <c r="V2" s="268"/>
      <c r="W2" s="268"/>
      <c r="X2" s="268"/>
      <c r="Y2" s="269"/>
      <c r="AA2" s="108" t="s">
        <v>153</v>
      </c>
      <c r="AB2" s="109" t="s">
        <v>48</v>
      </c>
      <c r="AC2" s="109" t="s">
        <v>168</v>
      </c>
      <c r="AE2" s="108" t="s">
        <v>153</v>
      </c>
      <c r="AF2" s="108" t="s">
        <v>27</v>
      </c>
      <c r="AG2" s="108" t="s">
        <v>30</v>
      </c>
      <c r="AH2" s="108" t="s">
        <v>29</v>
      </c>
      <c r="AI2" s="108" t="s">
        <v>31</v>
      </c>
      <c r="AJ2" s="108" t="s">
        <v>32</v>
      </c>
      <c r="AK2" s="108" t="s">
        <v>33</v>
      </c>
      <c r="AL2" s="108" t="s">
        <v>34</v>
      </c>
      <c r="AP2" s="299" t="s">
        <v>68</v>
      </c>
      <c r="AQ2" s="290" t="s">
        <v>161</v>
      </c>
      <c r="AR2" s="54" t="s">
        <v>27</v>
      </c>
      <c r="AS2" s="48">
        <f>COUNTIFS(JOURNAL!F:F,"1",JOURNAL!K:K,"2",JOURNAL!O:O,"TP")</f>
        <v>0</v>
      </c>
      <c r="AT2" s="290" t="s">
        <v>162</v>
      </c>
      <c r="AU2" s="54" t="s">
        <v>27</v>
      </c>
      <c r="AV2" s="48">
        <f>COUNTIFS(JOURNAL!F:F,"1",JOURNAL!K:K,"3",JOURNAL!O:O,"TP")</f>
        <v>0</v>
      </c>
      <c r="AW2" s="290" t="s">
        <v>163</v>
      </c>
      <c r="AX2" s="54" t="s">
        <v>27</v>
      </c>
      <c r="AY2" s="48">
        <f>COUNTIFS(JOURNAL!F:F,"1",JOURNAL!K:K,"4",JOURNAL!O:O,"TP")</f>
        <v>0</v>
      </c>
      <c r="AZ2" s="290" t="s">
        <v>164</v>
      </c>
      <c r="BA2" s="54" t="s">
        <v>27</v>
      </c>
      <c r="BB2" s="48">
        <f>COUNTIFS(JOURNAL!F:F,"1",JOURNAL!K:K,"30",JOURNAL!O:O,"TP")</f>
        <v>0</v>
      </c>
      <c r="BC2" s="290" t="s">
        <v>165</v>
      </c>
      <c r="BD2" s="54" t="s">
        <v>27</v>
      </c>
      <c r="BE2" s="48">
        <f>COUNTIFS(JOURNAL!F:F,"1",JOURNAL!K:K,"50",JOURNAL!O:O,"TP")</f>
        <v>0</v>
      </c>
      <c r="BF2" s="290" t="s">
        <v>156</v>
      </c>
      <c r="BG2" s="54" t="s">
        <v>27</v>
      </c>
      <c r="BH2" s="48">
        <f>COUNTIFS(JOURNAL!F:F,"1",JOURNAL!K:K,"COMPLEX H",JOURNAL!O:O,"TP")</f>
        <v>0</v>
      </c>
      <c r="BI2" s="290" t="s">
        <v>66</v>
      </c>
      <c r="BJ2" s="54" t="s">
        <v>27</v>
      </c>
      <c r="BK2" s="48">
        <f>COUNTIFS(JOURNAL!F:F,"1",JOURNAL!K:K,"COMPLEX D",JOURNAL!O:O,"TP")</f>
        <v>0</v>
      </c>
      <c r="BL2" s="290" t="s">
        <v>152</v>
      </c>
      <c r="BM2" s="54" t="s">
        <v>27</v>
      </c>
      <c r="BN2" s="48">
        <f>COUNTIFS(JOURNAL!F:F,"1",JOURNAL!K:K,"Multi",JOURNAL!O:O,"TP")</f>
        <v>0</v>
      </c>
      <c r="BO2" s="290" t="s">
        <v>171</v>
      </c>
      <c r="BP2" s="54" t="s">
        <v>27</v>
      </c>
      <c r="BQ2" s="48">
        <f>COUNTIFS(JOURNAL!F:F,"1",JOURNAL!K:K,"None",JOURNAL!O:O,"TP")</f>
        <v>0</v>
      </c>
      <c r="BR2" s="293" t="s">
        <v>172</v>
      </c>
      <c r="BS2" s="54" t="s">
        <v>27</v>
      </c>
      <c r="BT2" s="48">
        <f>COUNTIFS(JOURNAL!F:F,"1",JOURNAL!K:K,"Probably Setup",JOURNAL!O:O,"TP")</f>
        <v>0</v>
      </c>
    </row>
    <row r="3" spans="3:72" ht="18.75" x14ac:dyDescent="0.25">
      <c r="C3" s="260" t="s">
        <v>43</v>
      </c>
      <c r="D3" s="262">
        <f>COUNTIF(JOURNAL!K:K,"2")</f>
        <v>0</v>
      </c>
      <c r="E3" s="263"/>
      <c r="F3" s="54" t="s">
        <v>27</v>
      </c>
      <c r="G3" s="48">
        <f>COUNTIFS(JOURNAL!K:K,"2",JOURNAL!O:O,"TP")</f>
        <v>0</v>
      </c>
      <c r="I3" s="260" t="s">
        <v>43</v>
      </c>
      <c r="J3" s="262">
        <f>COUNTIF(JOURNAL!K:K,"4")</f>
        <v>0</v>
      </c>
      <c r="K3" s="263"/>
      <c r="L3" s="54" t="s">
        <v>27</v>
      </c>
      <c r="M3" s="48">
        <f>COUNTIFS(JOURNAL!K:K,"4",JOURNAL!O:O,"TP")</f>
        <v>0</v>
      </c>
      <c r="O3" s="260" t="s">
        <v>43</v>
      </c>
      <c r="P3" s="262">
        <f>COUNTIF(JOURNAL!K:K,"Complex D")</f>
        <v>0</v>
      </c>
      <c r="Q3" s="263"/>
      <c r="R3" s="54" t="s">
        <v>27</v>
      </c>
      <c r="S3" s="48">
        <f>COUNTIFS(JOURNAL!K:K,"Complex D",JOURNAL!O:O,"TP")</f>
        <v>0</v>
      </c>
      <c r="U3" s="296" t="s">
        <v>43</v>
      </c>
      <c r="V3" s="262">
        <f>COUNTIF(JOURNAL!K:K,"30")</f>
        <v>0</v>
      </c>
      <c r="W3" s="263"/>
      <c r="X3" s="54" t="s">
        <v>27</v>
      </c>
      <c r="Y3" s="48">
        <f>COUNTIFS(JOURNAL!K:K,"30",JOURNAL!O:O,"TP")</f>
        <v>0</v>
      </c>
      <c r="AA3" s="110">
        <v>2</v>
      </c>
      <c r="AB3" s="184">
        <f>E10</f>
        <v>0</v>
      </c>
      <c r="AC3" s="80">
        <f>SMALL(AB3:AB12,10)</f>
        <v>0</v>
      </c>
      <c r="AE3" s="110">
        <v>2</v>
      </c>
      <c r="AF3" s="75">
        <f>G3</f>
        <v>0</v>
      </c>
      <c r="AG3" s="75">
        <f>G6</f>
        <v>0</v>
      </c>
      <c r="AH3" s="75">
        <f>G4</f>
        <v>0</v>
      </c>
      <c r="AI3" s="75">
        <f>G7</f>
        <v>0</v>
      </c>
      <c r="AJ3" s="75">
        <f>G5</f>
        <v>0</v>
      </c>
      <c r="AK3" s="75">
        <f>G8</f>
        <v>0</v>
      </c>
      <c r="AL3" s="75">
        <f>G9</f>
        <v>0</v>
      </c>
      <c r="AP3" s="299"/>
      <c r="AQ3" s="291"/>
      <c r="AR3" s="55" t="s">
        <v>29</v>
      </c>
      <c r="AS3" s="48">
        <f>COUNTIFS(JOURNAL!F:F,"1",JOURNAL!K:K,"2",JOURNAL!O:O,"SL")</f>
        <v>0</v>
      </c>
      <c r="AT3" s="291"/>
      <c r="AU3" s="55" t="s">
        <v>29</v>
      </c>
      <c r="AV3" s="48">
        <f>COUNTIFS(JOURNAL!F:F,"1",JOURNAL!K:K,"3",JOURNAL!O:O,"SL")</f>
        <v>0</v>
      </c>
      <c r="AW3" s="291"/>
      <c r="AX3" s="55" t="s">
        <v>29</v>
      </c>
      <c r="AY3" s="48">
        <f>COUNTIFS(JOURNAL!F:F,"1",JOURNAL!K:K,"4",JOURNAL!O:O,"SL")</f>
        <v>0</v>
      </c>
      <c r="AZ3" s="291"/>
      <c r="BA3" s="55" t="s">
        <v>29</v>
      </c>
      <c r="BB3" s="48">
        <f>COUNTIFS(JOURNAL!F:F,"1",JOURNAL!K:K,"30",JOURNAL!O:O,"SL")</f>
        <v>0</v>
      </c>
      <c r="BC3" s="291"/>
      <c r="BD3" s="55" t="s">
        <v>29</v>
      </c>
      <c r="BE3" s="48">
        <f>COUNTIFS(JOURNAL!F:F,"1",JOURNAL!K:K,"50",JOURNAL!O:O,"SL")</f>
        <v>0</v>
      </c>
      <c r="BF3" s="291"/>
      <c r="BG3" s="55" t="s">
        <v>29</v>
      </c>
      <c r="BH3" s="48">
        <f>COUNTIFS(JOURNAL!F:F,"1",JOURNAL!K:K,"COMPLEX H",JOURNAL!O:O,"SL")</f>
        <v>0</v>
      </c>
      <c r="BI3" s="291"/>
      <c r="BJ3" s="55" t="s">
        <v>29</v>
      </c>
      <c r="BK3" s="48">
        <f>COUNTIFS(JOURNAL!F:F,"1",JOURNAL!K:K,"COMPLEX D",JOURNAL!O:O,"SL")</f>
        <v>0</v>
      </c>
      <c r="BL3" s="291"/>
      <c r="BM3" s="55" t="s">
        <v>29</v>
      </c>
      <c r="BN3" s="48">
        <f>COUNTIFS(JOURNAL!F:F,"1",JOURNAL!K:K,"Multi",JOURNAL!O:O,"SL")</f>
        <v>0</v>
      </c>
      <c r="BO3" s="291"/>
      <c r="BP3" s="55" t="s">
        <v>29</v>
      </c>
      <c r="BQ3" s="48">
        <f>COUNTIFS(JOURNAL!F:F,"1",JOURNAL!K:K,"None",JOURNAL!O:O,"SL")</f>
        <v>0</v>
      </c>
      <c r="BR3" s="294"/>
      <c r="BS3" s="55" t="s">
        <v>29</v>
      </c>
      <c r="BT3" s="48">
        <f>COUNTIFS(JOURNAL!F:F,"1",JOURNAL!K:K,"Probably Setup",JOURNAL!O:O,"SL")</f>
        <v>0</v>
      </c>
    </row>
    <row r="4" spans="3:72" ht="18.75" x14ac:dyDescent="0.25">
      <c r="C4" s="261"/>
      <c r="D4" s="264"/>
      <c r="E4" s="265"/>
      <c r="F4" s="55" t="s">
        <v>29</v>
      </c>
      <c r="G4" s="48">
        <f>COUNTIFS(JOURNAL!K:K,"2",JOURNAL!O:O,"SL")</f>
        <v>0</v>
      </c>
      <c r="I4" s="261"/>
      <c r="J4" s="264"/>
      <c r="K4" s="265"/>
      <c r="L4" s="55" t="s">
        <v>29</v>
      </c>
      <c r="M4" s="48">
        <f>COUNTIFS(JOURNAL!K:K,"4",JOURNAL!O:O,"SL")</f>
        <v>0</v>
      </c>
      <c r="O4" s="261"/>
      <c r="P4" s="264"/>
      <c r="Q4" s="265"/>
      <c r="R4" s="55" t="s">
        <v>29</v>
      </c>
      <c r="S4" s="48">
        <f>COUNTIFS(JOURNAL!K:K,"Complex D",JOURNAL!O:O,"SL")</f>
        <v>0</v>
      </c>
      <c r="U4" s="297"/>
      <c r="V4" s="264"/>
      <c r="W4" s="265"/>
      <c r="X4" s="55" t="s">
        <v>29</v>
      </c>
      <c r="Y4" s="48">
        <f>COUNTIFS(JOURNAL!K:K,"30",JOURNAL!O:O,"SL")</f>
        <v>0</v>
      </c>
      <c r="AA4" s="110">
        <v>3</v>
      </c>
      <c r="AB4" s="184">
        <f>E33</f>
        <v>0</v>
      </c>
      <c r="AC4" s="81">
        <f>SMALL(AB3:AB12,9)</f>
        <v>0</v>
      </c>
      <c r="AE4" s="110">
        <v>3</v>
      </c>
      <c r="AF4" s="48">
        <f>G26</f>
        <v>0</v>
      </c>
      <c r="AG4" s="48">
        <f>G29</f>
        <v>0</v>
      </c>
      <c r="AH4" s="48">
        <f>G27</f>
        <v>0</v>
      </c>
      <c r="AI4" s="48">
        <f>G30</f>
        <v>0</v>
      </c>
      <c r="AJ4" s="48">
        <f>G28</f>
        <v>0</v>
      </c>
      <c r="AK4" s="48">
        <f>G31</f>
        <v>0</v>
      </c>
      <c r="AL4" s="48">
        <f>G32</f>
        <v>0</v>
      </c>
      <c r="AP4" s="299"/>
      <c r="AQ4" s="291"/>
      <c r="AR4" s="56" t="s">
        <v>32</v>
      </c>
      <c r="AS4" s="48">
        <f>COUNTIFS(JOURNAL!F:F,"1",JOURNAL!K:K,"2",JOURNAL!O:O,"RF")</f>
        <v>0</v>
      </c>
      <c r="AT4" s="291"/>
      <c r="AU4" s="56" t="s">
        <v>32</v>
      </c>
      <c r="AV4" s="48">
        <f>COUNTIFS(JOURNAL!F:F,"1",JOURNAL!K:K,"3",JOURNAL!O:O,"RF")</f>
        <v>0</v>
      </c>
      <c r="AW4" s="291"/>
      <c r="AX4" s="56" t="s">
        <v>32</v>
      </c>
      <c r="AY4" s="48">
        <f>COUNTIFS(JOURNAL!F:F,"1",JOURNAL!K:K,"4",JOURNAL!O:O,"RF")</f>
        <v>0</v>
      </c>
      <c r="AZ4" s="291"/>
      <c r="BA4" s="56" t="s">
        <v>32</v>
      </c>
      <c r="BB4" s="48">
        <f>COUNTIFS(JOURNAL!F:F,"1",JOURNAL!K:K,"30",JOURNAL!O:O,"RF")</f>
        <v>0</v>
      </c>
      <c r="BC4" s="291"/>
      <c r="BD4" s="56" t="s">
        <v>32</v>
      </c>
      <c r="BE4" s="48">
        <f>COUNTIFS(JOURNAL!F:F,"1",JOURNAL!K:K,"50",JOURNAL!O:O,"RF")</f>
        <v>0</v>
      </c>
      <c r="BF4" s="291"/>
      <c r="BG4" s="56" t="s">
        <v>32</v>
      </c>
      <c r="BH4" s="48">
        <f>COUNTIFS(JOURNAL!F:F,"1",JOURNAL!K:K,"COMPLEX H",JOURNAL!O:O,"RF")</f>
        <v>0</v>
      </c>
      <c r="BI4" s="291"/>
      <c r="BJ4" s="56" t="s">
        <v>32</v>
      </c>
      <c r="BK4" s="48">
        <f>COUNTIFS(JOURNAL!F:F,"1",JOURNAL!K:K,"COMPLEX D",JOURNAL!O:O,"RF")</f>
        <v>0</v>
      </c>
      <c r="BL4" s="291"/>
      <c r="BM4" s="56" t="s">
        <v>32</v>
      </c>
      <c r="BN4" s="48">
        <f>COUNTIFS(JOURNAL!F:F,"1",JOURNAL!K:K,"Multi",JOURNAL!O:O,"RF")</f>
        <v>0</v>
      </c>
      <c r="BO4" s="291"/>
      <c r="BP4" s="56" t="s">
        <v>32</v>
      </c>
      <c r="BQ4" s="48">
        <f>COUNTIFS(JOURNAL!F:F,"1",JOURNAL!K:K,"None",JOURNAL!O:O,"RF")</f>
        <v>0</v>
      </c>
      <c r="BR4" s="294"/>
      <c r="BS4" s="56" t="s">
        <v>32</v>
      </c>
      <c r="BT4" s="48">
        <f>COUNTIFS(JOURNAL!F:F,"1",JOURNAL!K:K,"Probably Setup",JOURNAL!O:O,"RF")</f>
        <v>0</v>
      </c>
    </row>
    <row r="5" spans="3:72" ht="18.75" x14ac:dyDescent="0.25">
      <c r="C5" s="260" t="s">
        <v>45</v>
      </c>
      <c r="D5" s="111" t="s">
        <v>36</v>
      </c>
      <c r="E5" s="48">
        <f>COUNTIFS(JOURNAL!K:K,"2",JOURNAL!P:P,"SF")</f>
        <v>0</v>
      </c>
      <c r="F5" s="56" t="s">
        <v>32</v>
      </c>
      <c r="G5" s="48">
        <f>COUNTIFS(JOURNAL!K:K,"2",JOURNAL!O:O,"RF")</f>
        <v>0</v>
      </c>
      <c r="I5" s="260" t="s">
        <v>45</v>
      </c>
      <c r="J5" s="111" t="s">
        <v>36</v>
      </c>
      <c r="K5" s="48">
        <f>COUNTIFS(JOURNAL!K:K,"4",JOURNAL!P:P,"SF")</f>
        <v>0</v>
      </c>
      <c r="L5" s="56" t="s">
        <v>32</v>
      </c>
      <c r="M5" s="48">
        <f>COUNTIFS(JOURNAL!K:K,"4",JOURNAL!O:O,"RF")</f>
        <v>0</v>
      </c>
      <c r="O5" s="260" t="s">
        <v>45</v>
      </c>
      <c r="P5" s="111" t="s">
        <v>36</v>
      </c>
      <c r="Q5" s="48">
        <f>COUNTIFS(JOURNAL!K:K,"Complex D",JOURNAL!P:P,"SF")</f>
        <v>0</v>
      </c>
      <c r="R5" s="56" t="s">
        <v>32</v>
      </c>
      <c r="S5" s="48">
        <f>COUNTIFS(JOURNAL!K:K,"Complex D",JOURNAL!O:O,"RF")</f>
        <v>0</v>
      </c>
      <c r="U5" s="296" t="s">
        <v>45</v>
      </c>
      <c r="V5" s="111" t="s">
        <v>36</v>
      </c>
      <c r="W5" s="48">
        <f>COUNTIFS(JOURNAL!K:K,"30",JOURNAL!P:P,"SF")</f>
        <v>0</v>
      </c>
      <c r="X5" s="56" t="s">
        <v>32</v>
      </c>
      <c r="Y5" s="48">
        <f>COUNTIFS(JOURNAL!K:K,"30",JOURNAL!O:O,"RF")</f>
        <v>0</v>
      </c>
      <c r="AA5" s="110">
        <v>4</v>
      </c>
      <c r="AB5" s="184">
        <f>K10</f>
        <v>0</v>
      </c>
      <c r="AC5" s="82">
        <f>SMALL(AB3:AB12,8)</f>
        <v>0</v>
      </c>
      <c r="AE5" s="110">
        <v>4</v>
      </c>
      <c r="AF5" s="75">
        <f>M3</f>
        <v>0</v>
      </c>
      <c r="AG5" s="75">
        <f>M6</f>
        <v>0</v>
      </c>
      <c r="AH5" s="75">
        <f>M4</f>
        <v>0</v>
      </c>
      <c r="AI5" s="75">
        <f>M7</f>
        <v>0</v>
      </c>
      <c r="AJ5" s="75">
        <f>M5</f>
        <v>0</v>
      </c>
      <c r="AK5" s="75">
        <f>M8</f>
        <v>0</v>
      </c>
      <c r="AL5" s="75">
        <f>M9</f>
        <v>0</v>
      </c>
      <c r="AP5" s="299"/>
      <c r="AQ5" s="291"/>
      <c r="AR5" s="57" t="s">
        <v>30</v>
      </c>
      <c r="AS5" s="48">
        <f>COUNTIFS(JOURNAL!F:F,"1",JOURNAL!K:K,"2",JOURNAL!O:O,"PS")</f>
        <v>0</v>
      </c>
      <c r="AT5" s="291"/>
      <c r="AU5" s="57" t="s">
        <v>30</v>
      </c>
      <c r="AV5" s="48">
        <f>COUNTIFS(JOURNAL!F:F,"1",JOURNAL!K:K,"3",JOURNAL!O:O,"PS")</f>
        <v>0</v>
      </c>
      <c r="AW5" s="291"/>
      <c r="AX5" s="57" t="s">
        <v>30</v>
      </c>
      <c r="AY5" s="48">
        <f>COUNTIFS(JOURNAL!F:F,"1",JOURNAL!K:K,"4",JOURNAL!O:O,"PS")</f>
        <v>0</v>
      </c>
      <c r="AZ5" s="291"/>
      <c r="BA5" s="57" t="s">
        <v>30</v>
      </c>
      <c r="BB5" s="48">
        <f>COUNTIFS(JOURNAL!F:F,"1",JOURNAL!K:K,"30",JOURNAL!O:O,"PS")</f>
        <v>0</v>
      </c>
      <c r="BC5" s="291"/>
      <c r="BD5" s="57" t="s">
        <v>30</v>
      </c>
      <c r="BE5" s="48">
        <f>COUNTIFS(JOURNAL!F:F,"1",JOURNAL!K:K,"50",JOURNAL!O:O,"PS")</f>
        <v>0</v>
      </c>
      <c r="BF5" s="291"/>
      <c r="BG5" s="57" t="s">
        <v>30</v>
      </c>
      <c r="BH5" s="48">
        <f>COUNTIFS(JOURNAL!F:F,"1",JOURNAL!K:K,"COMPLEX H",JOURNAL!O:O,"PS")</f>
        <v>0</v>
      </c>
      <c r="BI5" s="291"/>
      <c r="BJ5" s="57" t="s">
        <v>30</v>
      </c>
      <c r="BK5" s="48">
        <f>COUNTIFS(JOURNAL!F:F,"1",JOURNAL!K:K,"COMPLEX D",JOURNAL!O:O,"PS")</f>
        <v>0</v>
      </c>
      <c r="BL5" s="291"/>
      <c r="BM5" s="57" t="s">
        <v>30</v>
      </c>
      <c r="BN5" s="48">
        <f>COUNTIFS(JOURNAL!F:F,"1",JOURNAL!K:K,"Multi",JOURNAL!O:O,"PS")</f>
        <v>0</v>
      </c>
      <c r="BO5" s="291"/>
      <c r="BP5" s="57" t="s">
        <v>30</v>
      </c>
      <c r="BQ5" s="48">
        <f>COUNTIFS(JOURNAL!F:F,"1",JOURNAL!K:K,"None",JOURNAL!O:O,"PS")</f>
        <v>0</v>
      </c>
      <c r="BR5" s="294"/>
      <c r="BS5" s="57" t="s">
        <v>30</v>
      </c>
      <c r="BT5" s="48">
        <f>COUNTIFS(JOURNAL!F:F,"1",JOURNAL!K:K,"Probably Setup",JOURNAL!O:O,"PS")</f>
        <v>0</v>
      </c>
    </row>
    <row r="6" spans="3:72" ht="18.75" x14ac:dyDescent="0.25">
      <c r="C6" s="266"/>
      <c r="D6" s="112" t="s">
        <v>28</v>
      </c>
      <c r="E6" s="48">
        <f>COUNTIFS(JOURNAL!K:K,"2",JOURNAL!P:P,"TC")</f>
        <v>0</v>
      </c>
      <c r="F6" s="57" t="s">
        <v>30</v>
      </c>
      <c r="G6" s="48">
        <f>COUNTIFS(JOURNAL!K:K,"2",JOURNAL!O:O,"PS")</f>
        <v>0</v>
      </c>
      <c r="I6" s="266"/>
      <c r="J6" s="112" t="s">
        <v>28</v>
      </c>
      <c r="K6" s="48">
        <f>COUNTIFS(JOURNAL!K:K,"4",JOURNAL!P:P,"TC")</f>
        <v>0</v>
      </c>
      <c r="L6" s="57" t="s">
        <v>30</v>
      </c>
      <c r="M6" s="48">
        <f>COUNTIFS(JOURNAL!K:K,"4",JOURNAL!O:O,"PS")</f>
        <v>0</v>
      </c>
      <c r="O6" s="266"/>
      <c r="P6" s="112" t="s">
        <v>28</v>
      </c>
      <c r="Q6" s="48">
        <f>COUNTIFS(JOURNAL!K:K,"Complex D",JOURNAL!P:P,"TC")</f>
        <v>0</v>
      </c>
      <c r="R6" s="57" t="s">
        <v>30</v>
      </c>
      <c r="S6" s="48">
        <f>COUNTIFS(JOURNAL!K:K,"Complex D",JOURNAL!O:O,"PS")</f>
        <v>0</v>
      </c>
      <c r="U6" s="298"/>
      <c r="V6" s="112" t="s">
        <v>28</v>
      </c>
      <c r="W6" s="48">
        <f>COUNTIFS(JOURNAL!K:K,"30",JOURNAL!P:P,"TC")</f>
        <v>0</v>
      </c>
      <c r="X6" s="57" t="s">
        <v>30</v>
      </c>
      <c r="Y6" s="48">
        <f>COUNTIFS(JOURNAL!K:K,"30",JOURNAL!O:O,"PS")</f>
        <v>0</v>
      </c>
      <c r="AA6" s="110">
        <v>30</v>
      </c>
      <c r="AB6" s="184">
        <f>W10</f>
        <v>0</v>
      </c>
      <c r="AC6" s="83">
        <f>SMALL(AB3:AB12,7)</f>
        <v>0</v>
      </c>
      <c r="AE6" s="110">
        <v>30</v>
      </c>
      <c r="AF6" s="48">
        <f>Y3</f>
        <v>0</v>
      </c>
      <c r="AG6" s="48">
        <f>Y6</f>
        <v>0</v>
      </c>
      <c r="AH6" s="48">
        <f>Y4</f>
        <v>0</v>
      </c>
      <c r="AI6" s="48">
        <f>Y7</f>
        <v>0</v>
      </c>
      <c r="AJ6" s="48">
        <f>Y5</f>
        <v>0</v>
      </c>
      <c r="AK6" s="48">
        <f>Y8</f>
        <v>0</v>
      </c>
      <c r="AL6" s="48">
        <f>Y9</f>
        <v>0</v>
      </c>
      <c r="AP6" s="299"/>
      <c r="AQ6" s="291"/>
      <c r="AR6" s="58" t="s">
        <v>31</v>
      </c>
      <c r="AS6" s="48">
        <f>COUNTIFS(JOURNAL!F:F,"1",JOURNAL!K:K,"2",JOURNAL!O:O,"LS")</f>
        <v>0</v>
      </c>
      <c r="AT6" s="291"/>
      <c r="AU6" s="58" t="s">
        <v>31</v>
      </c>
      <c r="AV6" s="48">
        <f>COUNTIFS(JOURNAL!F:F,"1",JOURNAL!K:K,"3",JOURNAL!O:O,"LS")</f>
        <v>0</v>
      </c>
      <c r="AW6" s="291"/>
      <c r="AX6" s="58" t="s">
        <v>31</v>
      </c>
      <c r="AY6" s="48">
        <f>COUNTIFS(JOURNAL!F:F,"1",JOURNAL!K:K,"4",JOURNAL!O:O,"LS")</f>
        <v>0</v>
      </c>
      <c r="AZ6" s="291"/>
      <c r="BA6" s="58" t="s">
        <v>31</v>
      </c>
      <c r="BB6" s="48">
        <f>COUNTIFS(JOURNAL!F:F,"1",JOURNAL!K:K,"30",JOURNAL!O:O,"LS")</f>
        <v>0</v>
      </c>
      <c r="BC6" s="291"/>
      <c r="BD6" s="58" t="s">
        <v>31</v>
      </c>
      <c r="BE6" s="48">
        <f>COUNTIFS(JOURNAL!F:F,"1",JOURNAL!K:K,"50",JOURNAL!O:O,"LS")</f>
        <v>0</v>
      </c>
      <c r="BF6" s="291"/>
      <c r="BG6" s="58" t="s">
        <v>31</v>
      </c>
      <c r="BH6" s="48">
        <f>COUNTIFS(JOURNAL!F:F,"1",JOURNAL!K:K,"COMPLEX H",JOURNAL!O:O,"LS")</f>
        <v>0</v>
      </c>
      <c r="BI6" s="291"/>
      <c r="BJ6" s="58" t="s">
        <v>31</v>
      </c>
      <c r="BK6" s="48">
        <f>COUNTIFS(JOURNAL!F:F,"1",JOURNAL!K:K,"COMPLEX D",JOURNAL!O:O,"LS")</f>
        <v>0</v>
      </c>
      <c r="BL6" s="291"/>
      <c r="BM6" s="58" t="s">
        <v>31</v>
      </c>
      <c r="BN6" s="48">
        <f>COUNTIFS(JOURNAL!F:F,"1",JOURNAL!K:K,"Multi",JOURNAL!O:O,"LS")</f>
        <v>0</v>
      </c>
      <c r="BO6" s="291"/>
      <c r="BP6" s="58" t="s">
        <v>31</v>
      </c>
      <c r="BQ6" s="48">
        <f>COUNTIFS(JOURNAL!F:F,"1",JOURNAL!K:K,"None",JOURNAL!O:O,"LS")</f>
        <v>0</v>
      </c>
      <c r="BR6" s="294"/>
      <c r="BS6" s="58" t="s">
        <v>31</v>
      </c>
      <c r="BT6" s="48">
        <f>COUNTIFS(JOURNAL!F:F,"1",JOURNAL!K:K,"Probably Setup",JOURNAL!O:O,"LS")</f>
        <v>0</v>
      </c>
    </row>
    <row r="7" spans="3:72" ht="18.75" x14ac:dyDescent="0.25">
      <c r="C7" s="266"/>
      <c r="D7" s="114" t="s">
        <v>37</v>
      </c>
      <c r="E7" s="48">
        <f>COUNTIFS(JOURNAL!K:K,"2",JOURNAL!P:P,"DC")</f>
        <v>0</v>
      </c>
      <c r="F7" s="58" t="s">
        <v>31</v>
      </c>
      <c r="G7" s="48">
        <f>COUNTIFS(JOURNAL!K:K,"2",JOURNAL!O:O,"LS")</f>
        <v>0</v>
      </c>
      <c r="I7" s="266"/>
      <c r="J7" s="114" t="s">
        <v>37</v>
      </c>
      <c r="K7" s="48">
        <f>COUNTIFS(JOURNAL!K:K,"4",JOURNAL!P:P,"DC")</f>
        <v>0</v>
      </c>
      <c r="L7" s="58" t="s">
        <v>31</v>
      </c>
      <c r="M7" s="48">
        <f>COUNTIFS(JOURNAL!K:K,"4",JOURNAL!O:O,"LS")</f>
        <v>0</v>
      </c>
      <c r="O7" s="266"/>
      <c r="P7" s="114" t="s">
        <v>37</v>
      </c>
      <c r="Q7" s="48">
        <f>COUNTIFS(JOURNAL!K:K,"Complex D",JOURNAL!P:P,"DC")</f>
        <v>0</v>
      </c>
      <c r="R7" s="58" t="s">
        <v>31</v>
      </c>
      <c r="S7" s="48">
        <f>COUNTIFS(JOURNAL!K:K,"Complex D",JOURNAL!O:O,"LS")</f>
        <v>0</v>
      </c>
      <c r="U7" s="298"/>
      <c r="V7" s="114" t="s">
        <v>37</v>
      </c>
      <c r="W7" s="48">
        <f>COUNTIFS(JOURNAL!K:K,"30",JOURNAL!P:P,"DC")</f>
        <v>0</v>
      </c>
      <c r="X7" s="58" t="s">
        <v>31</v>
      </c>
      <c r="Y7" s="48">
        <f>COUNTIFS(JOURNAL!K:K,"30",JOURNAL!O:O,"LS")</f>
        <v>0</v>
      </c>
      <c r="AA7" s="110">
        <v>50</v>
      </c>
      <c r="AB7" s="184">
        <f>K33</f>
        <v>0</v>
      </c>
      <c r="AC7" s="51">
        <f>SMALL(AB3:AB12,6)</f>
        <v>0</v>
      </c>
      <c r="AE7" s="110">
        <v>50</v>
      </c>
      <c r="AF7" s="75">
        <f>M26</f>
        <v>0</v>
      </c>
      <c r="AG7" s="75">
        <f>M29</f>
        <v>0</v>
      </c>
      <c r="AH7" s="75">
        <f>M27</f>
        <v>0</v>
      </c>
      <c r="AI7" s="75">
        <f>M30</f>
        <v>0</v>
      </c>
      <c r="AJ7" s="75">
        <f>M28</f>
        <v>0</v>
      </c>
      <c r="AK7" s="75">
        <f>M31</f>
        <v>0</v>
      </c>
      <c r="AL7" s="75">
        <f>M32</f>
        <v>0</v>
      </c>
      <c r="AP7" s="299"/>
      <c r="AQ7" s="291"/>
      <c r="AR7" s="59" t="s">
        <v>33</v>
      </c>
      <c r="AS7" s="48">
        <f>COUNTIFS(JOURNAL!F:F,"1",JOURNAL!K:K,"2",JOURNAL!O:O,"OT +")</f>
        <v>0</v>
      </c>
      <c r="AT7" s="291"/>
      <c r="AU7" s="59" t="s">
        <v>33</v>
      </c>
      <c r="AV7" s="48">
        <f>COUNTIFS(JOURNAL!F:F,"1",JOURNAL!K:K,"3",JOURNAL!O:O,"OT +")</f>
        <v>0</v>
      </c>
      <c r="AW7" s="291"/>
      <c r="AX7" s="59" t="s">
        <v>33</v>
      </c>
      <c r="AY7" s="48">
        <f>COUNTIFS(JOURNAL!F:F,"1",JOURNAL!K:K,"4",JOURNAL!O:O,"OT +")</f>
        <v>0</v>
      </c>
      <c r="AZ7" s="291"/>
      <c r="BA7" s="59" t="s">
        <v>33</v>
      </c>
      <c r="BB7" s="48">
        <f>COUNTIFS(JOURNAL!F:F,"1",JOURNAL!K:K,"30",JOURNAL!O:O,"OT +")</f>
        <v>0</v>
      </c>
      <c r="BC7" s="291"/>
      <c r="BD7" s="59" t="s">
        <v>33</v>
      </c>
      <c r="BE7" s="48">
        <f>COUNTIFS(JOURNAL!F:F,"1",JOURNAL!K:K,"50",JOURNAL!O:O,"OT +")</f>
        <v>0</v>
      </c>
      <c r="BF7" s="291"/>
      <c r="BG7" s="59" t="s">
        <v>33</v>
      </c>
      <c r="BH7" s="48">
        <f>COUNTIFS(JOURNAL!F:F,"1",JOURNAL!K:K,"COMPLEX H",JOURNAL!O:O,"OT +")</f>
        <v>0</v>
      </c>
      <c r="BI7" s="291"/>
      <c r="BJ7" s="59" t="s">
        <v>33</v>
      </c>
      <c r="BK7" s="48">
        <f>COUNTIFS(JOURNAL!F:F,"1",JOURNAL!K:K,"COMPLEX D",JOURNAL!O:O,"OT +")</f>
        <v>0</v>
      </c>
      <c r="BL7" s="291"/>
      <c r="BM7" s="59" t="s">
        <v>33</v>
      </c>
      <c r="BN7" s="48">
        <f>COUNTIFS(JOURNAL!F:F,"1",JOURNAL!K:K,"Multi",JOURNAL!O:O,"OT +")</f>
        <v>0</v>
      </c>
      <c r="BO7" s="291"/>
      <c r="BP7" s="59" t="s">
        <v>33</v>
      </c>
      <c r="BQ7" s="48">
        <f>COUNTIFS(JOURNAL!F:F,"1",JOURNAL!K:K,"None",JOURNAL!O:O,"OT +")</f>
        <v>0</v>
      </c>
      <c r="BR7" s="294"/>
      <c r="BS7" s="59" t="s">
        <v>33</v>
      </c>
      <c r="BT7" s="48">
        <f>COUNTIFS(JOURNAL!F:F,"1",JOURNAL!K:K,"Probably Setup",JOURNAL!O:O,"OT +")</f>
        <v>0</v>
      </c>
    </row>
    <row r="8" spans="3:72" ht="18.75" x14ac:dyDescent="0.25">
      <c r="C8" s="266"/>
      <c r="D8" s="115" t="s">
        <v>39</v>
      </c>
      <c r="E8" s="48">
        <f>COUNTIFS(JOURNAL!K:K,"2",JOURNAL!P:P,"RNG")</f>
        <v>0</v>
      </c>
      <c r="F8" s="59" t="s">
        <v>33</v>
      </c>
      <c r="G8" s="48">
        <f>COUNTIFS(JOURNAL!K:K,"2",JOURNAL!O:O,"OT +")</f>
        <v>0</v>
      </c>
      <c r="I8" s="266"/>
      <c r="J8" s="115" t="s">
        <v>39</v>
      </c>
      <c r="K8" s="48">
        <f>COUNTIFS(JOURNAL!K:K,"4",JOURNAL!P:P,"RNG")</f>
        <v>0</v>
      </c>
      <c r="L8" s="59" t="s">
        <v>33</v>
      </c>
      <c r="M8" s="48">
        <f>COUNTIFS(JOURNAL!K:K,"4",JOURNAL!O:O,"OT +")</f>
        <v>0</v>
      </c>
      <c r="O8" s="266"/>
      <c r="P8" s="115" t="s">
        <v>39</v>
      </c>
      <c r="Q8" s="48">
        <f>COUNTIFS(JOURNAL!K:K,"Complex D",JOURNAL!P:P,"RNG")</f>
        <v>0</v>
      </c>
      <c r="R8" s="59" t="s">
        <v>33</v>
      </c>
      <c r="S8" s="48">
        <f>COUNTIFS(JOURNAL!K:K,"Complex D",JOURNAL!O:O,"OT +")</f>
        <v>0</v>
      </c>
      <c r="U8" s="298"/>
      <c r="V8" s="115" t="s">
        <v>39</v>
      </c>
      <c r="W8" s="48">
        <f>COUNTIFS(JOURNAL!K:K,"30",JOURNAL!P:P,"RNG")</f>
        <v>0</v>
      </c>
      <c r="X8" s="59" t="s">
        <v>33</v>
      </c>
      <c r="Y8" s="48">
        <f>COUNTIFS(JOURNAL!K:K,"30",JOURNAL!O:O,"OT +")</f>
        <v>0</v>
      </c>
      <c r="AA8" s="110" t="s">
        <v>154</v>
      </c>
      <c r="AB8" s="184">
        <f>Q10</f>
        <v>0</v>
      </c>
      <c r="AC8" s="189">
        <f>SMALL(AB3:AB12,5)</f>
        <v>0</v>
      </c>
      <c r="AE8" s="110" t="s">
        <v>66</v>
      </c>
      <c r="AF8" s="48">
        <f>S3</f>
        <v>0</v>
      </c>
      <c r="AG8" s="48">
        <f>S6</f>
        <v>0</v>
      </c>
      <c r="AH8" s="48">
        <f>S4</f>
        <v>0</v>
      </c>
      <c r="AI8" s="48">
        <f>S7</f>
        <v>0</v>
      </c>
      <c r="AJ8" s="48">
        <f>S5</f>
        <v>0</v>
      </c>
      <c r="AK8" s="48">
        <f>S8</f>
        <v>0</v>
      </c>
      <c r="AL8" s="48">
        <f>S9</f>
        <v>0</v>
      </c>
      <c r="AP8" s="299"/>
      <c r="AQ8" s="291"/>
      <c r="AR8" s="60" t="s">
        <v>34</v>
      </c>
      <c r="AS8" s="48">
        <f>COUNTIFS(JOURNAL!F:F,"1",JOURNAL!K:K,"2",JOURNAL!O:O,"OT -")</f>
        <v>0</v>
      </c>
      <c r="AT8" s="291"/>
      <c r="AU8" s="60" t="s">
        <v>34</v>
      </c>
      <c r="AV8" s="48">
        <f>COUNTIFS(JOURNAL!F:F,"1",JOURNAL!K:K,"3",JOURNAL!O:O,"OT -")</f>
        <v>0</v>
      </c>
      <c r="AW8" s="291"/>
      <c r="AX8" s="60" t="s">
        <v>34</v>
      </c>
      <c r="AY8" s="48">
        <f>COUNTIFS(JOURNAL!F:F,"1",JOURNAL!K:K,"4",JOURNAL!O:O,"OT -")</f>
        <v>0</v>
      </c>
      <c r="AZ8" s="291"/>
      <c r="BA8" s="60" t="s">
        <v>34</v>
      </c>
      <c r="BB8" s="48">
        <f>COUNTIFS(JOURNAL!F:F,"1",JOURNAL!K:K,"30",JOURNAL!O:O,"OT -")</f>
        <v>0</v>
      </c>
      <c r="BC8" s="291"/>
      <c r="BD8" s="60" t="s">
        <v>34</v>
      </c>
      <c r="BE8" s="48">
        <f>COUNTIFS(JOURNAL!F:F,"1",JOURNAL!K:K,"50",JOURNAL!O:O,"OT -")</f>
        <v>0</v>
      </c>
      <c r="BF8" s="291"/>
      <c r="BG8" s="60" t="s">
        <v>34</v>
      </c>
      <c r="BH8" s="48">
        <f>COUNTIFS(JOURNAL!F:F,"1",JOURNAL!K:K,"COMPLEX H",JOURNAL!O:O,"OT -")</f>
        <v>0</v>
      </c>
      <c r="BI8" s="291"/>
      <c r="BJ8" s="60" t="s">
        <v>34</v>
      </c>
      <c r="BK8" s="48">
        <f>COUNTIFS(JOURNAL!F:F,"1",JOURNAL!K:K,"COMPLEX D",JOURNAL!O:O,"OT -")</f>
        <v>0</v>
      </c>
      <c r="BL8" s="291"/>
      <c r="BM8" s="60" t="s">
        <v>34</v>
      </c>
      <c r="BN8" s="48">
        <f>COUNTIFS(JOURNAL!F:F,"1",JOURNAL!K:K,"Multi",JOURNAL!O:O,"OT -")</f>
        <v>0</v>
      </c>
      <c r="BO8" s="291"/>
      <c r="BP8" s="60" t="s">
        <v>34</v>
      </c>
      <c r="BQ8" s="48">
        <f>COUNTIFS(JOURNAL!F:F,"1",JOURNAL!K:K,"None",JOURNAL!O:O,"OT -")</f>
        <v>0</v>
      </c>
      <c r="BR8" s="294"/>
      <c r="BS8" s="60" t="s">
        <v>34</v>
      </c>
      <c r="BT8" s="48">
        <f>COUNTIFS(JOURNAL!F:F,"1",JOURNAL!K:K,"Probably Setup",JOURNAL!O:O,"OT -")</f>
        <v>0</v>
      </c>
    </row>
    <row r="9" spans="3:72" ht="20.25" customHeight="1" x14ac:dyDescent="0.25">
      <c r="C9" s="266"/>
      <c r="D9" s="116" t="s">
        <v>38</v>
      </c>
      <c r="E9" s="48">
        <f>COUNTIFS(JOURNAL!K:K,"2",JOURNAL!P:P,"Keep Went")</f>
        <v>0</v>
      </c>
      <c r="F9" s="60" t="s">
        <v>34</v>
      </c>
      <c r="G9" s="48">
        <f>COUNTIFS(JOURNAL!K:K,"2",JOURNAL!O:O,"OT -")</f>
        <v>0</v>
      </c>
      <c r="I9" s="266"/>
      <c r="J9" s="120" t="s">
        <v>38</v>
      </c>
      <c r="K9" s="48">
        <f>COUNTIFS(JOURNAL!K:K,"4",JOURNAL!P:P,"Keep Went")</f>
        <v>0</v>
      </c>
      <c r="L9" s="60" t="s">
        <v>34</v>
      </c>
      <c r="M9" s="48">
        <f>COUNTIFS(JOURNAL!K:K,"4",JOURNAL!O:O,"OT -")</f>
        <v>0</v>
      </c>
      <c r="O9" s="266"/>
      <c r="P9" s="120" t="s">
        <v>38</v>
      </c>
      <c r="Q9" s="48">
        <f>COUNTIFS(JOURNAL!K:K,"Complex D",JOURNAL!P:P,"Keep Went")</f>
        <v>0</v>
      </c>
      <c r="R9" s="60" t="s">
        <v>34</v>
      </c>
      <c r="S9" s="48">
        <f>COUNTIFS(JOURNAL!K:K,"Complex D",JOURNAL!O:O,"OT -")</f>
        <v>0</v>
      </c>
      <c r="U9" s="298"/>
      <c r="V9" s="116" t="s">
        <v>38</v>
      </c>
      <c r="W9" s="48">
        <f>COUNTIFS(JOURNAL!K:K,"30",JOURNAL!P:P,"Keep Went")</f>
        <v>0</v>
      </c>
      <c r="X9" s="60" t="s">
        <v>34</v>
      </c>
      <c r="Y9" s="48">
        <f>COUNTIFS(JOURNAL!K:K,"30",JOURNAL!O:O,"OT -")</f>
        <v>0</v>
      </c>
      <c r="AA9" s="110" t="s">
        <v>155</v>
      </c>
      <c r="AB9" s="184">
        <f>Q33</f>
        <v>0</v>
      </c>
      <c r="AC9" s="128">
        <f>SMALL(AB3:AB12,4)</f>
        <v>0</v>
      </c>
      <c r="AE9" s="110" t="s">
        <v>156</v>
      </c>
      <c r="AF9" s="75">
        <f>S26</f>
        <v>0</v>
      </c>
      <c r="AG9" s="75">
        <f>S29</f>
        <v>0</v>
      </c>
      <c r="AH9" s="75">
        <f>S27</f>
        <v>0</v>
      </c>
      <c r="AI9" s="75">
        <f>S30</f>
        <v>0</v>
      </c>
      <c r="AJ9" s="75">
        <f>S28</f>
        <v>0</v>
      </c>
      <c r="AK9" s="75">
        <f>S31</f>
        <v>0</v>
      </c>
      <c r="AL9" s="75">
        <f>S32</f>
        <v>0</v>
      </c>
      <c r="AP9" s="299"/>
      <c r="AQ9" s="291"/>
      <c r="AR9" s="146" t="s">
        <v>115</v>
      </c>
      <c r="AS9" s="48">
        <f>SUM(AS2:AS8)</f>
        <v>0</v>
      </c>
      <c r="AT9" s="291"/>
      <c r="AU9" s="146" t="s">
        <v>115</v>
      </c>
      <c r="AV9" s="48">
        <f>SUM(AV2:AV8)</f>
        <v>0</v>
      </c>
      <c r="AW9" s="291"/>
      <c r="AX9" s="146" t="s">
        <v>115</v>
      </c>
      <c r="AY9" s="48">
        <f>SUM(AY2:AY8)</f>
        <v>0</v>
      </c>
      <c r="AZ9" s="291"/>
      <c r="BA9" s="146" t="s">
        <v>115</v>
      </c>
      <c r="BB9" s="48">
        <f>SUM(BB2:BB8)</f>
        <v>0</v>
      </c>
      <c r="BC9" s="291"/>
      <c r="BD9" s="146" t="s">
        <v>115</v>
      </c>
      <c r="BE9" s="48">
        <f>SUM(BE2:BE8)</f>
        <v>0</v>
      </c>
      <c r="BF9" s="291"/>
      <c r="BG9" s="146" t="s">
        <v>115</v>
      </c>
      <c r="BH9" s="48">
        <f>SUM(BH2:BH8)</f>
        <v>0</v>
      </c>
      <c r="BI9" s="291"/>
      <c r="BJ9" s="146" t="s">
        <v>115</v>
      </c>
      <c r="BK9" s="48">
        <f>SUM(BK2:BK8)</f>
        <v>0</v>
      </c>
      <c r="BL9" s="291"/>
      <c r="BM9" s="146" t="s">
        <v>115</v>
      </c>
      <c r="BN9" s="48">
        <f>SUM(BN2:BN8)</f>
        <v>0</v>
      </c>
      <c r="BO9" s="291"/>
      <c r="BP9" s="146" t="s">
        <v>115</v>
      </c>
      <c r="BQ9" s="48">
        <f>SUM(BQ2:BQ8)</f>
        <v>0</v>
      </c>
      <c r="BR9" s="294"/>
      <c r="BS9" s="146" t="s">
        <v>115</v>
      </c>
      <c r="BT9" s="48">
        <f>SUM(BT2:BT8)</f>
        <v>0</v>
      </c>
    </row>
    <row r="10" spans="3:72" ht="18" customHeight="1" x14ac:dyDescent="0.25">
      <c r="C10" s="261"/>
      <c r="D10" s="118" t="s">
        <v>48</v>
      </c>
      <c r="E10" s="106">
        <f>SUMIF(JOURNAL!K:K,"2",JOURNAL!Q:Q)</f>
        <v>0</v>
      </c>
      <c r="F10" s="119" t="s">
        <v>44</v>
      </c>
      <c r="G10" s="184" t="e">
        <f>SUM(G3,G5,G6,G8)/D3</f>
        <v>#DIV/0!</v>
      </c>
      <c r="I10" s="261"/>
      <c r="J10" s="118" t="s">
        <v>48</v>
      </c>
      <c r="K10" s="106">
        <f>SUMIF(JOURNAL!K:K,"4",JOURNAL!Q:Q)</f>
        <v>0</v>
      </c>
      <c r="L10" s="121" t="s">
        <v>44</v>
      </c>
      <c r="M10" s="184" t="e">
        <f>SUM(M3,M5,M6,M8)/J3</f>
        <v>#DIV/0!</v>
      </c>
      <c r="O10" s="261"/>
      <c r="P10" s="119" t="s">
        <v>48</v>
      </c>
      <c r="Q10" s="184">
        <f>SUMIF(JOURNAL!K:K,"Complex D",JOURNAL!Q:Q)</f>
        <v>0</v>
      </c>
      <c r="R10" s="119" t="s">
        <v>44</v>
      </c>
      <c r="S10" s="184" t="e">
        <f>SUM(S3,S5,S6,S8)/P3</f>
        <v>#DIV/0!</v>
      </c>
      <c r="U10" s="297"/>
      <c r="V10" s="119" t="s">
        <v>48</v>
      </c>
      <c r="W10" s="184">
        <f>SUMIF(JOURNAL!K:K,"30",JOURNAL!Q:Q)</f>
        <v>0</v>
      </c>
      <c r="X10" s="119" t="s">
        <v>44</v>
      </c>
      <c r="Y10" s="184" t="e">
        <f>SUM(Y3,Y5,Y6,Y8)/V3</f>
        <v>#DIV/0!</v>
      </c>
      <c r="AA10" s="110" t="s">
        <v>152</v>
      </c>
      <c r="AB10" s="184">
        <f>W33</f>
        <v>0</v>
      </c>
      <c r="AC10" s="187">
        <f>SMALL(AB3:AB12,3)</f>
        <v>0</v>
      </c>
      <c r="AE10" s="110" t="s">
        <v>152</v>
      </c>
      <c r="AF10" s="48">
        <f>Y26</f>
        <v>0</v>
      </c>
      <c r="AG10" s="48">
        <f>Y29</f>
        <v>0</v>
      </c>
      <c r="AH10" s="48">
        <f>Y27</f>
        <v>0</v>
      </c>
      <c r="AI10" s="48">
        <f>Y30</f>
        <v>0</v>
      </c>
      <c r="AJ10" s="48">
        <f>Y28</f>
        <v>0</v>
      </c>
      <c r="AK10" s="48">
        <f>Y31</f>
        <v>0</v>
      </c>
      <c r="AL10" s="48">
        <f>Y32</f>
        <v>0</v>
      </c>
      <c r="AP10" s="299"/>
      <c r="AQ10" s="292"/>
      <c r="AR10" s="191" t="s">
        <v>44</v>
      </c>
      <c r="AS10" s="48" t="e">
        <f>SUM(AS2,AS4,AS5,AS7)/AS9</f>
        <v>#DIV/0!</v>
      </c>
      <c r="AT10" s="292"/>
      <c r="AU10" s="191" t="s">
        <v>44</v>
      </c>
      <c r="AV10" s="48" t="e">
        <f>SUM(AV2,AV4,AV5,AV7)/AV9</f>
        <v>#DIV/0!</v>
      </c>
      <c r="AW10" s="292"/>
      <c r="AX10" s="191" t="s">
        <v>44</v>
      </c>
      <c r="AY10" s="48" t="e">
        <f>SUM(AY2,AY4,AY5,AY7)/AY9</f>
        <v>#DIV/0!</v>
      </c>
      <c r="AZ10" s="292"/>
      <c r="BA10" s="191" t="s">
        <v>44</v>
      </c>
      <c r="BB10" s="48" t="e">
        <f>SUM(BB2,BB4,BB5,BB7)/BB9</f>
        <v>#DIV/0!</v>
      </c>
      <c r="BC10" s="292"/>
      <c r="BD10" s="191" t="s">
        <v>44</v>
      </c>
      <c r="BE10" s="48" t="e">
        <f>SUM(BE2,BE4,BE5,BE7)/BE9</f>
        <v>#DIV/0!</v>
      </c>
      <c r="BF10" s="292"/>
      <c r="BG10" s="191" t="s">
        <v>44</v>
      </c>
      <c r="BH10" s="48" t="e">
        <f>SUM(BH2,BH4,BH5,BH7)/BH9</f>
        <v>#DIV/0!</v>
      </c>
      <c r="BI10" s="292"/>
      <c r="BJ10" s="191" t="s">
        <v>44</v>
      </c>
      <c r="BK10" s="48" t="e">
        <f>SUM(BK2,BK4,BK5,BK7)/BK9</f>
        <v>#DIV/0!</v>
      </c>
      <c r="BL10" s="292"/>
      <c r="BM10" s="191" t="s">
        <v>44</v>
      </c>
      <c r="BN10" s="48" t="e">
        <f>SUM(BN2,BN4,BN5,BN7)/BN9</f>
        <v>#DIV/0!</v>
      </c>
      <c r="BO10" s="292"/>
      <c r="BP10" s="191" t="s">
        <v>44</v>
      </c>
      <c r="BQ10" s="48" t="e">
        <f>SUM(BQ2,BQ4,BQ5,BQ7)/BQ9</f>
        <v>#DIV/0!</v>
      </c>
      <c r="BR10" s="295"/>
      <c r="BS10" s="191" t="s">
        <v>44</v>
      </c>
      <c r="BT10" s="48" t="e">
        <f>SUM(BT2,BT4,BT5,BT7)/BT9</f>
        <v>#DIV/0!</v>
      </c>
    </row>
    <row r="11" spans="3:72" ht="19.5" customHeight="1" x14ac:dyDescent="0.25">
      <c r="AA11" s="186" t="s">
        <v>171</v>
      </c>
      <c r="AB11" s="184">
        <f>E56</f>
        <v>0</v>
      </c>
      <c r="AC11" s="188">
        <f>SMALL(AB3:AB12,2)</f>
        <v>0</v>
      </c>
      <c r="AE11" s="186" t="s">
        <v>171</v>
      </c>
      <c r="AF11" s="75">
        <f>G49</f>
        <v>0</v>
      </c>
      <c r="AG11" s="75">
        <f>G52</f>
        <v>0</v>
      </c>
      <c r="AH11" s="75">
        <f>G50</f>
        <v>0</v>
      </c>
      <c r="AI11" s="75">
        <f>G53</f>
        <v>0</v>
      </c>
      <c r="AJ11" s="75">
        <f>G51</f>
        <v>0</v>
      </c>
      <c r="AK11" s="75">
        <f>G54</f>
        <v>0</v>
      </c>
      <c r="AL11" s="75">
        <f>G55</f>
        <v>0</v>
      </c>
    </row>
    <row r="12" spans="3:72" ht="19.5" customHeight="1" x14ac:dyDescent="0.25">
      <c r="AA12" s="186" t="s">
        <v>172</v>
      </c>
      <c r="AB12" s="184">
        <f>K56</f>
        <v>0</v>
      </c>
      <c r="AC12" s="190">
        <f>SMALL(AB3:AB12,1)</f>
        <v>0</v>
      </c>
      <c r="AE12" s="186" t="s">
        <v>172</v>
      </c>
      <c r="AF12" s="48">
        <f>M49</f>
        <v>0</v>
      </c>
      <c r="AG12" s="48">
        <f>M52</f>
        <v>0</v>
      </c>
      <c r="AH12" s="48">
        <f>M50</f>
        <v>0</v>
      </c>
      <c r="AI12" s="48">
        <f>M53</f>
        <v>0</v>
      </c>
      <c r="AJ12" s="48">
        <f>M51</f>
        <v>0</v>
      </c>
      <c r="AK12" s="48">
        <f>M54</f>
        <v>0</v>
      </c>
      <c r="AL12" s="48">
        <f>M55</f>
        <v>0</v>
      </c>
      <c r="AP12" s="299" t="s">
        <v>69</v>
      </c>
      <c r="AQ12" s="290" t="s">
        <v>161</v>
      </c>
      <c r="AR12" s="54" t="s">
        <v>27</v>
      </c>
      <c r="AS12" s="48">
        <f>COUNTIFS(JOURNAL!F:F,"2",JOURNAL!K:K,"2",JOURNAL!O:O,"TP")</f>
        <v>0</v>
      </c>
      <c r="AT12" s="290" t="s">
        <v>162</v>
      </c>
      <c r="AU12" s="54" t="s">
        <v>27</v>
      </c>
      <c r="AV12" s="48">
        <f>COUNTIFS(JOURNAL!F:F,"2",JOURNAL!K:K,"3",JOURNAL!O:O,"TP")</f>
        <v>0</v>
      </c>
      <c r="AW12" s="290" t="s">
        <v>163</v>
      </c>
      <c r="AX12" s="54" t="s">
        <v>27</v>
      </c>
      <c r="AY12" s="48">
        <f>COUNTIFS(JOURNAL!F:F,"2",JOURNAL!K:K,"4",JOURNAL!O:O,"TP")</f>
        <v>0</v>
      </c>
      <c r="AZ12" s="290" t="s">
        <v>164</v>
      </c>
      <c r="BA12" s="54" t="s">
        <v>27</v>
      </c>
      <c r="BB12" s="48">
        <f>COUNTIFS(JOURNAL!F:F,"2",JOURNAL!K:K,"30",JOURNAL!O:O,"TP")</f>
        <v>0</v>
      </c>
      <c r="BC12" s="290" t="s">
        <v>165</v>
      </c>
      <c r="BD12" s="54" t="s">
        <v>27</v>
      </c>
      <c r="BE12" s="48">
        <f>COUNTIFS(JOURNAL!F:F,"2",JOURNAL!K:K,"50",JOURNAL!O:O,"TP")</f>
        <v>0</v>
      </c>
      <c r="BF12" s="290" t="s">
        <v>156</v>
      </c>
      <c r="BG12" s="54" t="s">
        <v>27</v>
      </c>
      <c r="BH12" s="48">
        <f>COUNTIFS(JOURNAL!F:F,"2",JOURNAL!K:K,"COMPLEX H",JOURNAL!O:O,"TP")</f>
        <v>0</v>
      </c>
      <c r="BI12" s="290" t="s">
        <v>66</v>
      </c>
      <c r="BJ12" s="54" t="s">
        <v>27</v>
      </c>
      <c r="BK12" s="48">
        <f>COUNTIFS(JOURNAL!F:F,"2",JOURNAL!K:K,"COMPLEX D",JOURNAL!O:O,"TP")</f>
        <v>0</v>
      </c>
      <c r="BL12" s="290" t="s">
        <v>152</v>
      </c>
      <c r="BM12" s="54" t="s">
        <v>27</v>
      </c>
      <c r="BN12" s="48">
        <f>COUNTIFS(JOURNAL!F:F,"2",JOURNAL!K:K,"Multi",JOURNAL!O:O,"TP")</f>
        <v>0</v>
      </c>
      <c r="BO12" s="290" t="s">
        <v>171</v>
      </c>
      <c r="BP12" s="54" t="s">
        <v>27</v>
      </c>
      <c r="BQ12" s="48">
        <f>COUNTIFS(JOURNAL!F:F,"2",JOURNAL!K:K,"None",JOURNAL!O:O,"TP")</f>
        <v>0</v>
      </c>
      <c r="BR12" s="293" t="s">
        <v>172</v>
      </c>
      <c r="BS12" s="54" t="s">
        <v>27</v>
      </c>
      <c r="BT12" s="48">
        <f>COUNTIFS(JOURNAL!F:F,"2",JOURNAL!K:K,"Probably Setup",JOURNAL!O:O,"TP")</f>
        <v>0</v>
      </c>
    </row>
    <row r="13" spans="3:72" ht="15.75" x14ac:dyDescent="0.25">
      <c r="AP13" s="299"/>
      <c r="AQ13" s="291"/>
      <c r="AR13" s="55" t="s">
        <v>29</v>
      </c>
      <c r="AS13" s="48">
        <f>COUNTIFS(JOURNAL!F:F,"2",JOURNAL!K:K,"2",JOURNAL!O:O,"SL")</f>
        <v>0</v>
      </c>
      <c r="AT13" s="291"/>
      <c r="AU13" s="55" t="s">
        <v>29</v>
      </c>
      <c r="AV13" s="48">
        <f>COUNTIFS(JOURNAL!F:F,"2",JOURNAL!K:K,"3",JOURNAL!O:O,"SL")</f>
        <v>0</v>
      </c>
      <c r="AW13" s="291"/>
      <c r="AX13" s="55" t="s">
        <v>29</v>
      </c>
      <c r="AY13" s="48">
        <f>COUNTIFS(JOURNAL!F:F,"2",JOURNAL!K:K,"4",JOURNAL!O:O,"SL")</f>
        <v>0</v>
      </c>
      <c r="AZ13" s="291"/>
      <c r="BA13" s="55" t="s">
        <v>29</v>
      </c>
      <c r="BB13" s="48">
        <f>COUNTIFS(JOURNAL!F:F,"2",JOURNAL!K:K,"30",JOURNAL!O:O,"SL")</f>
        <v>0</v>
      </c>
      <c r="BC13" s="291"/>
      <c r="BD13" s="55" t="s">
        <v>29</v>
      </c>
      <c r="BE13" s="48">
        <f>COUNTIFS(JOURNAL!F:F,"2",JOURNAL!K:K,"50",JOURNAL!O:O,"SL")</f>
        <v>0</v>
      </c>
      <c r="BF13" s="291"/>
      <c r="BG13" s="55" t="s">
        <v>29</v>
      </c>
      <c r="BH13" s="48">
        <f>COUNTIFS(JOURNAL!F:F,"2",JOURNAL!K:K,"COMPLEX H",JOURNAL!O:O,"SL")</f>
        <v>0</v>
      </c>
      <c r="BI13" s="291"/>
      <c r="BJ13" s="55" t="s">
        <v>29</v>
      </c>
      <c r="BK13" s="48">
        <f>COUNTIFS(JOURNAL!F:F,"2",JOURNAL!K:K,"COMPLEX D",JOURNAL!O:O,"SL")</f>
        <v>0</v>
      </c>
      <c r="BL13" s="291"/>
      <c r="BM13" s="55" t="s">
        <v>29</v>
      </c>
      <c r="BN13" s="48">
        <f>COUNTIFS(JOURNAL!F:F,"2",JOURNAL!K:K,"Multi",JOURNAL!O:O,"SL")</f>
        <v>0</v>
      </c>
      <c r="BO13" s="291"/>
      <c r="BP13" s="55" t="s">
        <v>29</v>
      </c>
      <c r="BQ13" s="48">
        <f>COUNTIFS(JOURNAL!F:F,"2",JOURNAL!K:K,"None",JOURNAL!O:O,"SL")</f>
        <v>0</v>
      </c>
      <c r="BR13" s="294"/>
      <c r="BS13" s="55" t="s">
        <v>29</v>
      </c>
      <c r="BT13" s="48">
        <f>COUNTIFS(JOURNAL!F:F,"2",JOURNAL!K:K,"Probably Setup",JOURNAL!O:O,"SL")</f>
        <v>0</v>
      </c>
    </row>
    <row r="14" spans="3:72" ht="15.75" x14ac:dyDescent="0.25">
      <c r="AP14" s="299"/>
      <c r="AQ14" s="291"/>
      <c r="AR14" s="56" t="s">
        <v>32</v>
      </c>
      <c r="AS14" s="48">
        <f>COUNTIFS(JOURNAL!F:F,"2",JOURNAL!K:K,"2",JOURNAL!O:O,"RF")</f>
        <v>0</v>
      </c>
      <c r="AT14" s="291"/>
      <c r="AU14" s="56" t="s">
        <v>32</v>
      </c>
      <c r="AV14" s="48">
        <f>COUNTIFS(JOURNAL!F:F,"2",JOURNAL!K:K,"3",JOURNAL!O:O,"RF")</f>
        <v>0</v>
      </c>
      <c r="AW14" s="291"/>
      <c r="AX14" s="56" t="s">
        <v>32</v>
      </c>
      <c r="AY14" s="48">
        <f>COUNTIFS(JOURNAL!F:F,"2",JOURNAL!K:K,"4",JOURNAL!O:O,"RF")</f>
        <v>0</v>
      </c>
      <c r="AZ14" s="291"/>
      <c r="BA14" s="56" t="s">
        <v>32</v>
      </c>
      <c r="BB14" s="48">
        <f>COUNTIFS(JOURNAL!F:F,"2",JOURNAL!K:K,"30",JOURNAL!O:O,"RF")</f>
        <v>0</v>
      </c>
      <c r="BC14" s="291"/>
      <c r="BD14" s="56" t="s">
        <v>32</v>
      </c>
      <c r="BE14" s="48">
        <f>COUNTIFS(JOURNAL!F:F,"2",JOURNAL!K:K,"50",JOURNAL!O:O,"RF")</f>
        <v>0</v>
      </c>
      <c r="BF14" s="291"/>
      <c r="BG14" s="56" t="s">
        <v>32</v>
      </c>
      <c r="BH14" s="48">
        <f>COUNTIFS(JOURNAL!F:F,"2",JOURNAL!K:K,"COMPLEX H",JOURNAL!O:O,"RF")</f>
        <v>0</v>
      </c>
      <c r="BI14" s="291"/>
      <c r="BJ14" s="56" t="s">
        <v>32</v>
      </c>
      <c r="BK14" s="48">
        <f>COUNTIFS(JOURNAL!F:F,"2",JOURNAL!K:K,"COMPLEX D",JOURNAL!O:O,"RF")</f>
        <v>0</v>
      </c>
      <c r="BL14" s="291"/>
      <c r="BM14" s="56" t="s">
        <v>32</v>
      </c>
      <c r="BN14" s="48">
        <f>COUNTIFS(JOURNAL!F:F,"2",JOURNAL!K:K,"Multi",JOURNAL!O:O,"RF")</f>
        <v>0</v>
      </c>
      <c r="BO14" s="291"/>
      <c r="BP14" s="56" t="s">
        <v>32</v>
      </c>
      <c r="BQ14" s="48">
        <f>COUNTIFS(JOURNAL!F:F,"2",JOURNAL!K:K,"None",JOURNAL!O:O,"RF")</f>
        <v>0</v>
      </c>
      <c r="BR14" s="294"/>
      <c r="BS14" s="56" t="s">
        <v>32</v>
      </c>
      <c r="BT14" s="48">
        <f>COUNTIFS(JOURNAL!F:F,"2",JOURNAL!K:K,"Probably Setup",JOURNAL!O:O,"RF")</f>
        <v>0</v>
      </c>
    </row>
    <row r="15" spans="3:72" ht="24" customHeight="1" x14ac:dyDescent="0.25">
      <c r="AA15" s="108" t="s">
        <v>153</v>
      </c>
      <c r="AB15" s="109" t="s">
        <v>44</v>
      </c>
      <c r="AC15" s="109" t="s">
        <v>168</v>
      </c>
      <c r="AP15" s="299"/>
      <c r="AQ15" s="291"/>
      <c r="AR15" s="57" t="s">
        <v>30</v>
      </c>
      <c r="AS15" s="48">
        <f>COUNTIFS(JOURNAL!F:F,"2",JOURNAL!K:K,"2",JOURNAL!O:O,"PS")</f>
        <v>0</v>
      </c>
      <c r="AT15" s="291"/>
      <c r="AU15" s="57" t="s">
        <v>30</v>
      </c>
      <c r="AV15" s="48">
        <f>COUNTIFS(JOURNAL!F:F,"2",JOURNAL!K:K,"3",JOURNAL!O:O,"PS")</f>
        <v>0</v>
      </c>
      <c r="AW15" s="291"/>
      <c r="AX15" s="57" t="s">
        <v>30</v>
      </c>
      <c r="AY15" s="48">
        <f>COUNTIFS(JOURNAL!F:F,"2",JOURNAL!K:K,"4",JOURNAL!O:O,"PS")</f>
        <v>0</v>
      </c>
      <c r="AZ15" s="291"/>
      <c r="BA15" s="57" t="s">
        <v>30</v>
      </c>
      <c r="BB15" s="48">
        <f>COUNTIFS(JOURNAL!F:F,"2",JOURNAL!K:K,"30",JOURNAL!O:O,"PS")</f>
        <v>0</v>
      </c>
      <c r="BC15" s="291"/>
      <c r="BD15" s="57" t="s">
        <v>30</v>
      </c>
      <c r="BE15" s="48">
        <f>COUNTIFS(JOURNAL!F:F,"2",JOURNAL!K:K,"50",JOURNAL!O:O,"PS")</f>
        <v>0</v>
      </c>
      <c r="BF15" s="291"/>
      <c r="BG15" s="57" t="s">
        <v>30</v>
      </c>
      <c r="BH15" s="48">
        <f>COUNTIFS(JOURNAL!F:F,"2",JOURNAL!K:K,"COMPLEX H",JOURNAL!O:O,"PS")</f>
        <v>0</v>
      </c>
      <c r="BI15" s="291"/>
      <c r="BJ15" s="57" t="s">
        <v>30</v>
      </c>
      <c r="BK15" s="48">
        <f>COUNTIFS(JOURNAL!F:F,"2",JOURNAL!K:K,"COMPLEX D",JOURNAL!O:O,"PS")</f>
        <v>0</v>
      </c>
      <c r="BL15" s="291"/>
      <c r="BM15" s="57" t="s">
        <v>30</v>
      </c>
      <c r="BN15" s="48">
        <f>COUNTIFS(JOURNAL!F:F,"2",JOURNAL!K:K,"Multi",JOURNAL!O:O,"PS")</f>
        <v>0</v>
      </c>
      <c r="BO15" s="291"/>
      <c r="BP15" s="57" t="s">
        <v>30</v>
      </c>
      <c r="BQ15" s="48">
        <f>COUNTIFS(JOURNAL!F:F,"2",JOURNAL!K:K,"None",JOURNAL!O:O,"PS")</f>
        <v>0</v>
      </c>
      <c r="BR15" s="294"/>
      <c r="BS15" s="57" t="s">
        <v>30</v>
      </c>
      <c r="BT15" s="48">
        <f>COUNTIFS(JOURNAL!F:F,"2",JOURNAL!K:K,"Probably Setup",JOURNAL!O:O,"PS")</f>
        <v>0</v>
      </c>
    </row>
    <row r="16" spans="3:72" ht="18.75" x14ac:dyDescent="0.25">
      <c r="AA16" s="110">
        <v>2</v>
      </c>
      <c r="AB16" s="184" t="e">
        <f>G10</f>
        <v>#DIV/0!</v>
      </c>
      <c r="AC16" s="80" t="e">
        <f>SMALL(AB16:AB25,10)</f>
        <v>#DIV/0!</v>
      </c>
      <c r="AP16" s="299"/>
      <c r="AQ16" s="291"/>
      <c r="AR16" s="58" t="s">
        <v>31</v>
      </c>
      <c r="AS16" s="48">
        <f>COUNTIFS(JOURNAL!F:F,"2",JOURNAL!K:K,"2",JOURNAL!O:O,"LS")</f>
        <v>0</v>
      </c>
      <c r="AT16" s="291"/>
      <c r="AU16" s="58" t="s">
        <v>31</v>
      </c>
      <c r="AV16" s="48">
        <f>COUNTIFS(JOURNAL!F:F,"2",JOURNAL!K:K,"3",JOURNAL!O:O,"LS")</f>
        <v>0</v>
      </c>
      <c r="AW16" s="291"/>
      <c r="AX16" s="58" t="s">
        <v>31</v>
      </c>
      <c r="AY16" s="48">
        <f>COUNTIFS(JOURNAL!F:F,"2",JOURNAL!K:K,"4",JOURNAL!O:O,"LS")</f>
        <v>0</v>
      </c>
      <c r="AZ16" s="291"/>
      <c r="BA16" s="58" t="s">
        <v>31</v>
      </c>
      <c r="BB16" s="48">
        <f>COUNTIFS(JOURNAL!F:F,"2",JOURNAL!K:K,"30",JOURNAL!O:O,"LS")</f>
        <v>0</v>
      </c>
      <c r="BC16" s="291"/>
      <c r="BD16" s="58" t="s">
        <v>31</v>
      </c>
      <c r="BE16" s="48">
        <f>COUNTIFS(JOURNAL!F:F,"2",JOURNAL!K:K,"50",JOURNAL!O:O,"LS")</f>
        <v>0</v>
      </c>
      <c r="BF16" s="291"/>
      <c r="BG16" s="58" t="s">
        <v>31</v>
      </c>
      <c r="BH16" s="48">
        <f>COUNTIFS(JOURNAL!F:F,"2",JOURNAL!K:K,"COMPLEX H",JOURNAL!O:O,"LS")</f>
        <v>0</v>
      </c>
      <c r="BI16" s="291"/>
      <c r="BJ16" s="58" t="s">
        <v>31</v>
      </c>
      <c r="BK16" s="48">
        <f>COUNTIFS(JOURNAL!F:F,"2",JOURNAL!K:K,"COMPLEX D",JOURNAL!O:O,"LS")</f>
        <v>0</v>
      </c>
      <c r="BL16" s="291"/>
      <c r="BM16" s="58" t="s">
        <v>31</v>
      </c>
      <c r="BN16" s="48">
        <f>COUNTIFS(JOURNAL!F:F,"2",JOURNAL!K:K,"Multi",JOURNAL!O:O,"LS")</f>
        <v>0</v>
      </c>
      <c r="BO16" s="291"/>
      <c r="BP16" s="58" t="s">
        <v>31</v>
      </c>
      <c r="BQ16" s="48">
        <f>COUNTIFS(JOURNAL!F:F,"2",JOURNAL!K:K,"None",JOURNAL!O:O,"LS")</f>
        <v>0</v>
      </c>
      <c r="BR16" s="294"/>
      <c r="BS16" s="58" t="s">
        <v>31</v>
      </c>
      <c r="BT16" s="48">
        <f>COUNTIFS(JOURNAL!F:F,"2",JOURNAL!K:K,"Probably Setup",JOURNAL!O:O,"LS")</f>
        <v>0</v>
      </c>
    </row>
    <row r="17" spans="3:72" ht="18.75" x14ac:dyDescent="0.25">
      <c r="AA17" s="110">
        <v>3</v>
      </c>
      <c r="AB17" s="184" t="e">
        <f>G33</f>
        <v>#DIV/0!</v>
      </c>
      <c r="AC17" s="81" t="e">
        <f>SMALL(AB16:AB25,9)</f>
        <v>#DIV/0!</v>
      </c>
      <c r="AP17" s="299"/>
      <c r="AQ17" s="291"/>
      <c r="AR17" s="59" t="s">
        <v>33</v>
      </c>
      <c r="AS17" s="48">
        <f>COUNTIFS(JOURNAL!F:F,"2",JOURNAL!K:K,"2",JOURNAL!O:O,"OT +")</f>
        <v>0</v>
      </c>
      <c r="AT17" s="291"/>
      <c r="AU17" s="59" t="s">
        <v>33</v>
      </c>
      <c r="AV17" s="48">
        <f>COUNTIFS(JOURNAL!F:F,"2",JOURNAL!K:K,"3",JOURNAL!O:O,"OT +")</f>
        <v>0</v>
      </c>
      <c r="AW17" s="291"/>
      <c r="AX17" s="59" t="s">
        <v>33</v>
      </c>
      <c r="AY17" s="48">
        <f>COUNTIFS(JOURNAL!F:F,"2",JOURNAL!K:K,"4",JOURNAL!O:O,"OT +")</f>
        <v>0</v>
      </c>
      <c r="AZ17" s="291"/>
      <c r="BA17" s="59" t="s">
        <v>33</v>
      </c>
      <c r="BB17" s="48">
        <f>COUNTIFS(JOURNAL!F:F,"2",JOURNAL!K:K,"30",JOURNAL!O:O,"OT +")</f>
        <v>0</v>
      </c>
      <c r="BC17" s="291"/>
      <c r="BD17" s="59" t="s">
        <v>33</v>
      </c>
      <c r="BE17" s="48">
        <f>COUNTIFS(JOURNAL!F:F,"2",JOURNAL!K:K,"50",JOURNAL!O:O,"OT +")</f>
        <v>0</v>
      </c>
      <c r="BF17" s="291"/>
      <c r="BG17" s="59" t="s">
        <v>33</v>
      </c>
      <c r="BH17" s="48">
        <f>COUNTIFS(JOURNAL!F:F,"2",JOURNAL!K:K,"COMPLEX H",JOURNAL!O:O,"OT +")</f>
        <v>0</v>
      </c>
      <c r="BI17" s="291"/>
      <c r="BJ17" s="59" t="s">
        <v>33</v>
      </c>
      <c r="BK17" s="48">
        <f>COUNTIFS(JOURNAL!F:F,"2",JOURNAL!K:K,"COMPLEX D",JOURNAL!O:O,"OT +")</f>
        <v>0</v>
      </c>
      <c r="BL17" s="291"/>
      <c r="BM17" s="59" t="s">
        <v>33</v>
      </c>
      <c r="BN17" s="48">
        <f>COUNTIFS(JOURNAL!F:F,"2",JOURNAL!K:K,"Multi",JOURNAL!O:O,"OT +")</f>
        <v>0</v>
      </c>
      <c r="BO17" s="291"/>
      <c r="BP17" s="59" t="s">
        <v>33</v>
      </c>
      <c r="BQ17" s="48">
        <f>COUNTIFS(JOURNAL!F:F,"2",JOURNAL!K:K,"None",JOURNAL!O:O,"OT +")</f>
        <v>0</v>
      </c>
      <c r="BR17" s="294"/>
      <c r="BS17" s="59" t="s">
        <v>33</v>
      </c>
      <c r="BT17" s="48">
        <f>COUNTIFS(JOURNAL!F:F,"2",JOURNAL!K:K,"Probably Setup",JOURNAL!O:O,"OT +")</f>
        <v>0</v>
      </c>
    </row>
    <row r="18" spans="3:72" ht="18.75" x14ac:dyDescent="0.25">
      <c r="AA18" s="110">
        <v>4</v>
      </c>
      <c r="AB18" s="184" t="e">
        <f>M10</f>
        <v>#DIV/0!</v>
      </c>
      <c r="AC18" s="82" t="e">
        <f>SMALL(AB16:AB25,8)</f>
        <v>#DIV/0!</v>
      </c>
      <c r="AP18" s="299"/>
      <c r="AQ18" s="291"/>
      <c r="AR18" s="60" t="s">
        <v>34</v>
      </c>
      <c r="AS18" s="48">
        <f>COUNTIFS(JOURNAL!F:F,"2",JOURNAL!K:K,"2",JOURNAL!O:O,"OT -")</f>
        <v>0</v>
      </c>
      <c r="AT18" s="291"/>
      <c r="AU18" s="60" t="s">
        <v>34</v>
      </c>
      <c r="AV18" s="48">
        <f>COUNTIFS(JOURNAL!F:F,"2",JOURNAL!K:K,"3",JOURNAL!O:O,"OT -")</f>
        <v>0</v>
      </c>
      <c r="AW18" s="291"/>
      <c r="AX18" s="60" t="s">
        <v>34</v>
      </c>
      <c r="AY18" s="48">
        <f>COUNTIFS(JOURNAL!F:F,"2",JOURNAL!K:K,"4",JOURNAL!O:O,"OT -")</f>
        <v>0</v>
      </c>
      <c r="AZ18" s="291"/>
      <c r="BA18" s="60" t="s">
        <v>34</v>
      </c>
      <c r="BB18" s="48">
        <f>COUNTIFS(JOURNAL!F:F,"2",JOURNAL!K:K,"30",JOURNAL!O:O,"OT -")</f>
        <v>0</v>
      </c>
      <c r="BC18" s="291"/>
      <c r="BD18" s="60" t="s">
        <v>34</v>
      </c>
      <c r="BE18" s="48">
        <f>COUNTIFS(JOURNAL!F:F,"2",JOURNAL!K:K,"50",JOURNAL!O:O,"OT -")</f>
        <v>0</v>
      </c>
      <c r="BF18" s="291"/>
      <c r="BG18" s="60" t="s">
        <v>34</v>
      </c>
      <c r="BH18" s="48">
        <f>COUNTIFS(JOURNAL!F:F,"2",JOURNAL!K:K,"COMPLEX H",JOURNAL!O:O,"OT -")</f>
        <v>0</v>
      </c>
      <c r="BI18" s="291"/>
      <c r="BJ18" s="60" t="s">
        <v>34</v>
      </c>
      <c r="BK18" s="48">
        <f>COUNTIFS(JOURNAL!F:F,"2",JOURNAL!K:K,"COMPLEX D",JOURNAL!O:O,"OT -")</f>
        <v>0</v>
      </c>
      <c r="BL18" s="291"/>
      <c r="BM18" s="60" t="s">
        <v>34</v>
      </c>
      <c r="BN18" s="48">
        <f>COUNTIFS(JOURNAL!F:F,"2",JOURNAL!K:K,"Multi",JOURNAL!O:O,"OT -")</f>
        <v>0</v>
      </c>
      <c r="BO18" s="291"/>
      <c r="BP18" s="60" t="s">
        <v>34</v>
      </c>
      <c r="BQ18" s="48">
        <f>COUNTIFS(JOURNAL!F:F,"2",JOURNAL!K:K,"None",JOURNAL!O:O,"OT -")</f>
        <v>0</v>
      </c>
      <c r="BR18" s="294"/>
      <c r="BS18" s="60" t="s">
        <v>34</v>
      </c>
      <c r="BT18" s="48">
        <f>COUNTIFS(JOURNAL!F:F,"2",JOURNAL!K:K,"Probably Setup",JOURNAL!O:O,"OT -")</f>
        <v>0</v>
      </c>
    </row>
    <row r="19" spans="3:72" ht="18.75" x14ac:dyDescent="0.25">
      <c r="AA19" s="110">
        <v>30</v>
      </c>
      <c r="AB19" s="184" t="e">
        <f>Y10</f>
        <v>#DIV/0!</v>
      </c>
      <c r="AC19" s="83" t="e">
        <f>SMALL(AB16:AB25,7)</f>
        <v>#DIV/0!</v>
      </c>
      <c r="AP19" s="299"/>
      <c r="AQ19" s="291"/>
      <c r="AR19" s="146" t="s">
        <v>115</v>
      </c>
      <c r="AS19" s="48">
        <f>SUM(AS12:AS18)</f>
        <v>0</v>
      </c>
      <c r="AT19" s="291"/>
      <c r="AU19" s="146" t="s">
        <v>115</v>
      </c>
      <c r="AV19" s="48">
        <f>SUM(AV12:AV18)</f>
        <v>0</v>
      </c>
      <c r="AW19" s="291"/>
      <c r="AX19" s="146" t="s">
        <v>115</v>
      </c>
      <c r="AY19" s="48">
        <f>SUM(AY12:AY18)</f>
        <v>0</v>
      </c>
      <c r="AZ19" s="291"/>
      <c r="BA19" s="146" t="s">
        <v>115</v>
      </c>
      <c r="BB19" s="48">
        <f>SUM(BB12:BB18)</f>
        <v>0</v>
      </c>
      <c r="BC19" s="291"/>
      <c r="BD19" s="146" t="s">
        <v>115</v>
      </c>
      <c r="BE19" s="48">
        <f>SUM(BE12:BE18)</f>
        <v>0</v>
      </c>
      <c r="BF19" s="291"/>
      <c r="BG19" s="146" t="s">
        <v>115</v>
      </c>
      <c r="BH19" s="48">
        <f>SUM(BH12:BH18)</f>
        <v>0</v>
      </c>
      <c r="BI19" s="291"/>
      <c r="BJ19" s="146" t="s">
        <v>115</v>
      </c>
      <c r="BK19" s="48">
        <f>SUM(BK12:BK18)</f>
        <v>0</v>
      </c>
      <c r="BL19" s="291"/>
      <c r="BM19" s="146" t="s">
        <v>115</v>
      </c>
      <c r="BN19" s="48">
        <f>SUM(BN12:BN18)</f>
        <v>0</v>
      </c>
      <c r="BO19" s="291"/>
      <c r="BP19" s="146" t="s">
        <v>115</v>
      </c>
      <c r="BQ19" s="48">
        <f>SUM(BQ12:BQ18)</f>
        <v>0</v>
      </c>
      <c r="BR19" s="294"/>
      <c r="BS19" s="146" t="s">
        <v>115</v>
      </c>
      <c r="BT19" s="48">
        <f>SUM(BT12:BT18)</f>
        <v>0</v>
      </c>
    </row>
    <row r="20" spans="3:72" ht="18.75" x14ac:dyDescent="0.25">
      <c r="AA20" s="110">
        <v>50</v>
      </c>
      <c r="AB20" s="184" t="e">
        <f>M33</f>
        <v>#DIV/0!</v>
      </c>
      <c r="AC20" s="51" t="e">
        <f>SMALL(AB16:AB25,6)</f>
        <v>#DIV/0!</v>
      </c>
      <c r="AP20" s="299"/>
      <c r="AQ20" s="292"/>
      <c r="AR20" s="191" t="s">
        <v>44</v>
      </c>
      <c r="AS20" s="48" t="e">
        <f>SUM(AS12,AS14,AS15,AS17)/AS19</f>
        <v>#DIV/0!</v>
      </c>
      <c r="AT20" s="292"/>
      <c r="AU20" s="191" t="s">
        <v>44</v>
      </c>
      <c r="AV20" s="48" t="e">
        <f>SUM(AV12,AV14,AV15,AV17)/AV19</f>
        <v>#DIV/0!</v>
      </c>
      <c r="AW20" s="292"/>
      <c r="AX20" s="191" t="s">
        <v>44</v>
      </c>
      <c r="AY20" s="48" t="e">
        <f>SUM(AY12,AY14,AY15,AY17)/AY19</f>
        <v>#DIV/0!</v>
      </c>
      <c r="AZ20" s="292"/>
      <c r="BA20" s="191" t="s">
        <v>44</v>
      </c>
      <c r="BB20" s="48" t="e">
        <f>SUM(BB12,BB14,BB15,BB17)/BB19</f>
        <v>#DIV/0!</v>
      </c>
      <c r="BC20" s="292"/>
      <c r="BD20" s="191" t="s">
        <v>44</v>
      </c>
      <c r="BE20" s="48" t="e">
        <f>SUM(BE12,BE14,BE15,BE17)/BE19</f>
        <v>#DIV/0!</v>
      </c>
      <c r="BF20" s="292"/>
      <c r="BG20" s="191" t="s">
        <v>44</v>
      </c>
      <c r="BH20" s="48" t="e">
        <f>SUM(BH12,BH14,BH15,BH17)/BH19</f>
        <v>#DIV/0!</v>
      </c>
      <c r="BI20" s="292"/>
      <c r="BJ20" s="191" t="s">
        <v>44</v>
      </c>
      <c r="BK20" s="48" t="e">
        <f>SUM(BK12,BK14,BK15,BK17)/BK19</f>
        <v>#DIV/0!</v>
      </c>
      <c r="BL20" s="292"/>
      <c r="BM20" s="191" t="s">
        <v>44</v>
      </c>
      <c r="BN20" s="48" t="e">
        <f>SUM(BN12,BN14,BN15,BN17)/BN19</f>
        <v>#DIV/0!</v>
      </c>
      <c r="BO20" s="292"/>
      <c r="BP20" s="191" t="s">
        <v>44</v>
      </c>
      <c r="BQ20" s="48" t="e">
        <f>SUM(BQ12,BQ14,BQ15,BQ17)/BQ19</f>
        <v>#DIV/0!</v>
      </c>
      <c r="BR20" s="295"/>
      <c r="BS20" s="191" t="s">
        <v>44</v>
      </c>
      <c r="BT20" s="48" t="e">
        <f>SUM(BT12,BT14,BT15,BT17)/BT19</f>
        <v>#DIV/0!</v>
      </c>
    </row>
    <row r="21" spans="3:72" ht="18.75" x14ac:dyDescent="0.25">
      <c r="AA21" s="110" t="s">
        <v>154</v>
      </c>
      <c r="AB21" s="184" t="e">
        <f>S10</f>
        <v>#DIV/0!</v>
      </c>
      <c r="AC21" s="189" t="e">
        <f>SMALL(AB16:AB25,5)</f>
        <v>#DIV/0!</v>
      </c>
    </row>
    <row r="22" spans="3:72" ht="17.25" customHeight="1" x14ac:dyDescent="0.25">
      <c r="AA22" s="110" t="s">
        <v>155</v>
      </c>
      <c r="AB22" s="184" t="e">
        <f>S33</f>
        <v>#DIV/0!</v>
      </c>
      <c r="AC22" s="128" t="e">
        <f>SMALL(AB16:AB25,4)</f>
        <v>#DIV/0!</v>
      </c>
      <c r="AP22" s="299" t="s">
        <v>70</v>
      </c>
      <c r="AQ22" s="290" t="s">
        <v>161</v>
      </c>
      <c r="AR22" s="54" t="s">
        <v>27</v>
      </c>
      <c r="AS22" s="48">
        <f>COUNTIFS(JOURNAL!F:F,"3",JOURNAL!K:K,"2",JOURNAL!O:O,"TP")</f>
        <v>0</v>
      </c>
      <c r="AT22" s="290" t="s">
        <v>162</v>
      </c>
      <c r="AU22" s="54" t="s">
        <v>27</v>
      </c>
      <c r="AV22" s="48">
        <f>COUNTIFS(JOURNAL!F:F,"3",JOURNAL!K:K,"3",JOURNAL!O:O,"TP")</f>
        <v>0</v>
      </c>
      <c r="AW22" s="290" t="s">
        <v>163</v>
      </c>
      <c r="AX22" s="54" t="s">
        <v>27</v>
      </c>
      <c r="AY22" s="48">
        <f>COUNTIFS(JOURNAL!F:F,"3",JOURNAL!K:K,"4",JOURNAL!O:O,"TP")</f>
        <v>0</v>
      </c>
      <c r="AZ22" s="290" t="s">
        <v>164</v>
      </c>
      <c r="BA22" s="54" t="s">
        <v>27</v>
      </c>
      <c r="BB22" s="48">
        <f>COUNTIFS(JOURNAL!F:F,"3",JOURNAL!K:K,"30",JOURNAL!O:O,"TP")</f>
        <v>0</v>
      </c>
      <c r="BC22" s="290" t="s">
        <v>165</v>
      </c>
      <c r="BD22" s="54" t="s">
        <v>27</v>
      </c>
      <c r="BE22" s="48">
        <f>COUNTIFS(JOURNAL!F:F,"3",JOURNAL!K:K,"50",JOURNAL!O:O,"TP")</f>
        <v>0</v>
      </c>
      <c r="BF22" s="290" t="s">
        <v>156</v>
      </c>
      <c r="BG22" s="54" t="s">
        <v>27</v>
      </c>
      <c r="BH22" s="48">
        <f>COUNTIFS(JOURNAL!F:F,"3",JOURNAL!K:K,"COMPLEX H",JOURNAL!O:O,"TP")</f>
        <v>0</v>
      </c>
      <c r="BI22" s="290" t="s">
        <v>66</v>
      </c>
      <c r="BJ22" s="54" t="s">
        <v>27</v>
      </c>
      <c r="BK22" s="48">
        <f>COUNTIFS(JOURNAL!F:F,"3",JOURNAL!K:K,"COMPLEX D",JOURNAL!O:O,"TP")</f>
        <v>0</v>
      </c>
      <c r="BL22" s="290" t="s">
        <v>152</v>
      </c>
      <c r="BM22" s="54" t="s">
        <v>27</v>
      </c>
      <c r="BN22" s="48">
        <f>COUNTIFS(JOURNAL!F:F,"3",JOURNAL!K:K,"Multi",JOURNAL!O:O,"TP")</f>
        <v>0</v>
      </c>
      <c r="BO22" s="290" t="s">
        <v>171</v>
      </c>
      <c r="BP22" s="54" t="s">
        <v>27</v>
      </c>
      <c r="BQ22" s="48">
        <f>COUNTIFS(JOURNAL!F:F,"3",JOURNAL!K:K,"None",JOURNAL!O:O,"TP")</f>
        <v>0</v>
      </c>
      <c r="BR22" s="293" t="s">
        <v>172</v>
      </c>
      <c r="BS22" s="54" t="s">
        <v>27</v>
      </c>
      <c r="BT22" s="48">
        <f>COUNTIFS(JOURNAL!F:F,"3",JOURNAL!K:K,"Probably Setup",JOURNAL!O:O,"TP")</f>
        <v>0</v>
      </c>
    </row>
    <row r="23" spans="3:72" ht="18.75" x14ac:dyDescent="0.25">
      <c r="AA23" s="110" t="s">
        <v>152</v>
      </c>
      <c r="AB23" s="184" t="e">
        <f>Y33</f>
        <v>#DIV/0!</v>
      </c>
      <c r="AC23" s="187" t="e">
        <f>SMALL(AB16:AB25,3)</f>
        <v>#DIV/0!</v>
      </c>
      <c r="AP23" s="299"/>
      <c r="AQ23" s="291"/>
      <c r="AR23" s="55" t="s">
        <v>29</v>
      </c>
      <c r="AS23" s="48">
        <f>COUNTIFS(JOURNAL!F:F,"3",JOURNAL!K:K,"2",JOURNAL!O:O,"SL")</f>
        <v>0</v>
      </c>
      <c r="AT23" s="291"/>
      <c r="AU23" s="55" t="s">
        <v>29</v>
      </c>
      <c r="AV23" s="48">
        <f>COUNTIFS(JOURNAL!F:F,"3",JOURNAL!K:K,"3",JOURNAL!O:O,"SL")</f>
        <v>0</v>
      </c>
      <c r="AW23" s="291"/>
      <c r="AX23" s="55" t="s">
        <v>29</v>
      </c>
      <c r="AY23" s="48">
        <f>COUNTIFS(JOURNAL!F:F,"3",JOURNAL!K:K,"4",JOURNAL!O:O,"SL")</f>
        <v>0</v>
      </c>
      <c r="AZ23" s="291"/>
      <c r="BA23" s="55" t="s">
        <v>29</v>
      </c>
      <c r="BB23" s="48">
        <f>COUNTIFS(JOURNAL!F:F,"3",JOURNAL!K:K,"30",JOURNAL!O:O,"SL")</f>
        <v>0</v>
      </c>
      <c r="BC23" s="291"/>
      <c r="BD23" s="55" t="s">
        <v>29</v>
      </c>
      <c r="BE23" s="48">
        <f>COUNTIFS(JOURNAL!F:F,"3",JOURNAL!K:K,"50",JOURNAL!O:O,"SL")</f>
        <v>0</v>
      </c>
      <c r="BF23" s="291"/>
      <c r="BG23" s="55" t="s">
        <v>29</v>
      </c>
      <c r="BH23" s="48">
        <f>COUNTIFS(JOURNAL!F:F,"3",JOURNAL!K:K,"COMPLEX H",JOURNAL!O:O,"SL")</f>
        <v>0</v>
      </c>
      <c r="BI23" s="291"/>
      <c r="BJ23" s="55" t="s">
        <v>29</v>
      </c>
      <c r="BK23" s="48">
        <f>COUNTIFS(JOURNAL!F:F,"3",JOURNAL!K:K,"COMPLEX D",JOURNAL!O:O,"SL")</f>
        <v>0</v>
      </c>
      <c r="BL23" s="291"/>
      <c r="BM23" s="55" t="s">
        <v>29</v>
      </c>
      <c r="BN23" s="48">
        <f>COUNTIFS(JOURNAL!F:F,"3",JOURNAL!K:K,"Multi",JOURNAL!O:O,"SL")</f>
        <v>0</v>
      </c>
      <c r="BO23" s="291"/>
      <c r="BP23" s="55" t="s">
        <v>29</v>
      </c>
      <c r="BQ23" s="48">
        <f>COUNTIFS(JOURNAL!F:F,"3",JOURNAL!K:K,"None",JOURNAL!O:O,"SL")</f>
        <v>0</v>
      </c>
      <c r="BR23" s="294"/>
      <c r="BS23" s="55" t="s">
        <v>29</v>
      </c>
      <c r="BT23" s="48">
        <f>COUNTIFS(JOURNAL!F:F,"3",JOURNAL!K:K,"Probably Setup",JOURNAL!O:O,"SL")</f>
        <v>0</v>
      </c>
    </row>
    <row r="24" spans="3:72" ht="17.25" x14ac:dyDescent="0.25">
      <c r="AA24" s="186" t="s">
        <v>171</v>
      </c>
      <c r="AB24" s="184" t="e">
        <f>G56</f>
        <v>#DIV/0!</v>
      </c>
      <c r="AC24" s="188" t="e">
        <f>SMALL(AB16:AB25,2)</f>
        <v>#DIV/0!</v>
      </c>
      <c r="AP24" s="299"/>
      <c r="AQ24" s="291"/>
      <c r="AR24" s="56" t="s">
        <v>32</v>
      </c>
      <c r="AS24" s="48">
        <f>COUNTIFS(JOURNAL!F:F,"3",JOURNAL!K:K,"2",JOURNAL!O:O,"RF")</f>
        <v>0</v>
      </c>
      <c r="AT24" s="291"/>
      <c r="AU24" s="56" t="s">
        <v>32</v>
      </c>
      <c r="AV24" s="48">
        <f>COUNTIFS(JOURNAL!F:F,"3",JOURNAL!K:K,"3",JOURNAL!O:O,"RF")</f>
        <v>0</v>
      </c>
      <c r="AW24" s="291"/>
      <c r="AX24" s="56" t="s">
        <v>32</v>
      </c>
      <c r="AY24" s="48">
        <f>COUNTIFS(JOURNAL!F:F,"3",JOURNAL!K:K,"4",JOURNAL!O:O,"RF")</f>
        <v>0</v>
      </c>
      <c r="AZ24" s="291"/>
      <c r="BA24" s="56" t="s">
        <v>32</v>
      </c>
      <c r="BB24" s="48">
        <f>COUNTIFS(JOURNAL!F:F,"3",JOURNAL!K:K,"30",JOURNAL!O:O,"RF")</f>
        <v>0</v>
      </c>
      <c r="BC24" s="291"/>
      <c r="BD24" s="56" t="s">
        <v>32</v>
      </c>
      <c r="BE24" s="48">
        <f>COUNTIFS(JOURNAL!F:F,"3",JOURNAL!K:K,"50",JOURNAL!O:O,"RF")</f>
        <v>0</v>
      </c>
      <c r="BF24" s="291"/>
      <c r="BG24" s="56" t="s">
        <v>32</v>
      </c>
      <c r="BH24" s="48">
        <f>COUNTIFS(JOURNAL!F:F,"3",JOURNAL!K:K,"COMPLEX H",JOURNAL!O:O,"RF")</f>
        <v>0</v>
      </c>
      <c r="BI24" s="291"/>
      <c r="BJ24" s="56" t="s">
        <v>32</v>
      </c>
      <c r="BK24" s="48">
        <f>COUNTIFS(JOURNAL!F:F,"3",JOURNAL!K:K,"COMPLEX D",JOURNAL!O:O,"RF")</f>
        <v>0</v>
      </c>
      <c r="BL24" s="291"/>
      <c r="BM24" s="56" t="s">
        <v>32</v>
      </c>
      <c r="BN24" s="48">
        <f>COUNTIFS(JOURNAL!F:F,"3",JOURNAL!K:K,"Multi",JOURNAL!O:O,"RF")</f>
        <v>0</v>
      </c>
      <c r="BO24" s="291"/>
      <c r="BP24" s="56" t="s">
        <v>32</v>
      </c>
      <c r="BQ24" s="48">
        <f>COUNTIFS(JOURNAL!F:F,"3",JOURNAL!K:K,"None",JOURNAL!O:O,"RF")</f>
        <v>0</v>
      </c>
      <c r="BR24" s="294"/>
      <c r="BS24" s="56" t="s">
        <v>32</v>
      </c>
      <c r="BT24" s="48">
        <f>COUNTIFS(JOURNAL!F:F,"3",JOURNAL!K:K,"Probably Setup",JOURNAL!O:O,"RF")</f>
        <v>0</v>
      </c>
    </row>
    <row r="25" spans="3:72" ht="17.25" customHeight="1" x14ac:dyDescent="0.25">
      <c r="C25" s="267">
        <v>3</v>
      </c>
      <c r="D25" s="268"/>
      <c r="E25" s="268"/>
      <c r="F25" s="268"/>
      <c r="G25" s="269"/>
      <c r="I25" s="267">
        <v>50</v>
      </c>
      <c r="J25" s="268"/>
      <c r="K25" s="268"/>
      <c r="L25" s="268"/>
      <c r="M25" s="269"/>
      <c r="O25" s="267" t="s">
        <v>67</v>
      </c>
      <c r="P25" s="268"/>
      <c r="Q25" s="268"/>
      <c r="R25" s="268"/>
      <c r="S25" s="269"/>
      <c r="U25" s="267" t="s">
        <v>152</v>
      </c>
      <c r="V25" s="268"/>
      <c r="W25" s="268"/>
      <c r="X25" s="268"/>
      <c r="Y25" s="269"/>
      <c r="AA25" s="186" t="s">
        <v>172</v>
      </c>
      <c r="AB25" s="184" t="e">
        <f>M56</f>
        <v>#DIV/0!</v>
      </c>
      <c r="AC25" s="190" t="e">
        <f>SMALL(AB16:AB25,1)</f>
        <v>#DIV/0!</v>
      </c>
      <c r="AP25" s="299"/>
      <c r="AQ25" s="291"/>
      <c r="AR25" s="57" t="s">
        <v>30</v>
      </c>
      <c r="AS25" s="48">
        <f>COUNTIFS(JOURNAL!F:F,"3",JOURNAL!K:K,"2",JOURNAL!O:O,"PS")</f>
        <v>0</v>
      </c>
      <c r="AT25" s="291"/>
      <c r="AU25" s="57" t="s">
        <v>30</v>
      </c>
      <c r="AV25" s="48">
        <f>COUNTIFS(JOURNAL!F:F,"3",JOURNAL!K:K,"3",JOURNAL!O:O,"PS")</f>
        <v>0</v>
      </c>
      <c r="AW25" s="291"/>
      <c r="AX25" s="57" t="s">
        <v>30</v>
      </c>
      <c r="AY25" s="48">
        <f>COUNTIFS(JOURNAL!F:F,"3",JOURNAL!K:K,"4",JOURNAL!O:O,"PS")</f>
        <v>0</v>
      </c>
      <c r="AZ25" s="291"/>
      <c r="BA25" s="57" t="s">
        <v>30</v>
      </c>
      <c r="BB25" s="48">
        <f>COUNTIFS(JOURNAL!F:F,"3",JOURNAL!K:K,"30",JOURNAL!O:O,"PS")</f>
        <v>0</v>
      </c>
      <c r="BC25" s="291"/>
      <c r="BD25" s="57" t="s">
        <v>30</v>
      </c>
      <c r="BE25" s="48">
        <f>COUNTIFS(JOURNAL!F:F,"3",JOURNAL!K:K,"50",JOURNAL!O:O,"PS")</f>
        <v>0</v>
      </c>
      <c r="BF25" s="291"/>
      <c r="BG25" s="57" t="s">
        <v>30</v>
      </c>
      <c r="BH25" s="48">
        <f>COUNTIFS(JOURNAL!F:F,"3",JOURNAL!K:K,"COMPLEX H",JOURNAL!O:O,"PS")</f>
        <v>0</v>
      </c>
      <c r="BI25" s="291"/>
      <c r="BJ25" s="57" t="s">
        <v>30</v>
      </c>
      <c r="BK25" s="48">
        <f>COUNTIFS(JOURNAL!F:F,"3",JOURNAL!K:K,"COMPLEX D",JOURNAL!O:O,"PS")</f>
        <v>0</v>
      </c>
      <c r="BL25" s="291"/>
      <c r="BM25" s="57" t="s">
        <v>30</v>
      </c>
      <c r="BN25" s="48">
        <f>COUNTIFS(JOURNAL!F:F,"3",JOURNAL!K:K,"Multi",JOURNAL!O:O,"PS")</f>
        <v>0</v>
      </c>
      <c r="BO25" s="291"/>
      <c r="BP25" s="57" t="s">
        <v>30</v>
      </c>
      <c r="BQ25" s="48">
        <f>COUNTIFS(JOURNAL!F:F,"3",JOURNAL!K:K,"None",JOURNAL!O:O,"PS")</f>
        <v>0</v>
      </c>
      <c r="BR25" s="294"/>
      <c r="BS25" s="57" t="s">
        <v>30</v>
      </c>
      <c r="BT25" s="48">
        <f>COUNTIFS(JOURNAL!F:F,"3",JOURNAL!K:K,"Probably Setup",JOURNAL!O:O,"PS")</f>
        <v>0</v>
      </c>
    </row>
    <row r="26" spans="3:72" ht="15.75" x14ac:dyDescent="0.25">
      <c r="C26" s="260" t="s">
        <v>43</v>
      </c>
      <c r="D26" s="262">
        <f>COUNTIF(JOURNAL!K:K,"3")</f>
        <v>0</v>
      </c>
      <c r="E26" s="263"/>
      <c r="F26" s="54" t="s">
        <v>27</v>
      </c>
      <c r="G26" s="48">
        <f>COUNTIFS(JOURNAL!K:K,"3",JOURNAL!O:O,"TP")</f>
        <v>0</v>
      </c>
      <c r="I26" s="260" t="s">
        <v>43</v>
      </c>
      <c r="J26" s="262">
        <f>COUNTIF(JOURNAL!K:K,"50")</f>
        <v>0</v>
      </c>
      <c r="K26" s="263"/>
      <c r="L26" s="54" t="s">
        <v>27</v>
      </c>
      <c r="M26" s="48">
        <f>COUNTIFS(JOURNAL!K:K,"50",JOURNAL!O:O,"TP")</f>
        <v>0</v>
      </c>
      <c r="O26" s="260" t="s">
        <v>43</v>
      </c>
      <c r="P26" s="262">
        <f>COUNTIF(JOURNAL!K:K,"Complex H")</f>
        <v>0</v>
      </c>
      <c r="Q26" s="263"/>
      <c r="R26" s="54" t="s">
        <v>27</v>
      </c>
      <c r="S26" s="48">
        <f>COUNTIFS(JOURNAL!K:K,"Complex H",JOURNAL!O:O,"TP")</f>
        <v>0</v>
      </c>
      <c r="U26" s="260" t="s">
        <v>43</v>
      </c>
      <c r="V26" s="262">
        <f>COUNTIF(JOURNAL!K:K,"Multi")</f>
        <v>0</v>
      </c>
      <c r="W26" s="263"/>
      <c r="X26" s="54" t="s">
        <v>27</v>
      </c>
      <c r="Y26" s="48">
        <f>COUNTIFS(JOURNAL!K:K,"Multi",JOURNAL!O:O,"TP")</f>
        <v>0</v>
      </c>
      <c r="AP26" s="299"/>
      <c r="AQ26" s="291"/>
      <c r="AR26" s="58" t="s">
        <v>31</v>
      </c>
      <c r="AS26" s="48">
        <f>COUNTIFS(JOURNAL!F:F,"3",JOURNAL!K:K,"2",JOURNAL!O:O,"LS")</f>
        <v>0</v>
      </c>
      <c r="AT26" s="291"/>
      <c r="AU26" s="58" t="s">
        <v>31</v>
      </c>
      <c r="AV26" s="48">
        <f>COUNTIFS(JOURNAL!F:F,"3",JOURNAL!K:K,"3",JOURNAL!O:O,"LS")</f>
        <v>0</v>
      </c>
      <c r="AW26" s="291"/>
      <c r="AX26" s="58" t="s">
        <v>31</v>
      </c>
      <c r="AY26" s="48">
        <f>COUNTIFS(JOURNAL!F:F,"3",JOURNAL!K:K,"4",JOURNAL!O:O,"LS")</f>
        <v>0</v>
      </c>
      <c r="AZ26" s="291"/>
      <c r="BA26" s="58" t="s">
        <v>31</v>
      </c>
      <c r="BB26" s="48">
        <f>COUNTIFS(JOURNAL!F:F,"3",JOURNAL!K:K,"30",JOURNAL!O:O,"LS")</f>
        <v>0</v>
      </c>
      <c r="BC26" s="291"/>
      <c r="BD26" s="58" t="s">
        <v>31</v>
      </c>
      <c r="BE26" s="48">
        <f>COUNTIFS(JOURNAL!F:F,"3",JOURNAL!K:K,"50",JOURNAL!O:O,"LS")</f>
        <v>0</v>
      </c>
      <c r="BF26" s="291"/>
      <c r="BG26" s="58" t="s">
        <v>31</v>
      </c>
      <c r="BH26" s="48">
        <f>COUNTIFS(JOURNAL!F:F,"3",JOURNAL!K:K,"COMPLEX H",JOURNAL!O:O,"LS")</f>
        <v>0</v>
      </c>
      <c r="BI26" s="291"/>
      <c r="BJ26" s="58" t="s">
        <v>31</v>
      </c>
      <c r="BK26" s="48">
        <f>COUNTIFS(JOURNAL!F:F,"3",JOURNAL!K:K,"COMPLEX D",JOURNAL!O:O,"LS")</f>
        <v>0</v>
      </c>
      <c r="BL26" s="291"/>
      <c r="BM26" s="58" t="s">
        <v>31</v>
      </c>
      <c r="BN26" s="48">
        <f>COUNTIFS(JOURNAL!F:F,"3",JOURNAL!K:K,"Multi",JOURNAL!O:O,"LS")</f>
        <v>0</v>
      </c>
      <c r="BO26" s="291"/>
      <c r="BP26" s="58" t="s">
        <v>31</v>
      </c>
      <c r="BQ26" s="48">
        <f>COUNTIFS(JOURNAL!F:F,"3",JOURNAL!K:K,"None",JOURNAL!O:O,"LS")</f>
        <v>0</v>
      </c>
      <c r="BR26" s="294"/>
      <c r="BS26" s="58" t="s">
        <v>31</v>
      </c>
      <c r="BT26" s="48">
        <f>COUNTIFS(JOURNAL!F:F,"3",JOURNAL!K:K,"Probably Setup",JOURNAL!O:O,"LS")</f>
        <v>0</v>
      </c>
    </row>
    <row r="27" spans="3:72" ht="24" customHeight="1" x14ac:dyDescent="0.25">
      <c r="C27" s="261"/>
      <c r="D27" s="264"/>
      <c r="E27" s="265"/>
      <c r="F27" s="55" t="s">
        <v>29</v>
      </c>
      <c r="G27" s="48">
        <f>COUNTIFS(JOURNAL!K:K,"3",JOURNAL!O:O,"SL")</f>
        <v>0</v>
      </c>
      <c r="I27" s="261"/>
      <c r="J27" s="264"/>
      <c r="K27" s="265"/>
      <c r="L27" s="55" t="s">
        <v>29</v>
      </c>
      <c r="M27" s="48">
        <f>COUNTIFS(JOURNAL!K:K,"50",JOURNAL!O:O,"SL")</f>
        <v>0</v>
      </c>
      <c r="O27" s="261"/>
      <c r="P27" s="264"/>
      <c r="Q27" s="265"/>
      <c r="R27" s="55" t="s">
        <v>29</v>
      </c>
      <c r="S27" s="48">
        <f>COUNTIFS(JOURNAL!K:K,"Complex H",JOURNAL!O:O,"SL")</f>
        <v>0</v>
      </c>
      <c r="U27" s="261"/>
      <c r="V27" s="264"/>
      <c r="W27" s="265"/>
      <c r="X27" s="55" t="s">
        <v>29</v>
      </c>
      <c r="Y27" s="48">
        <f>COUNTIFS(JOURNAL!K:K,"Multi",JOURNAL!O:O,"SL")</f>
        <v>0</v>
      </c>
      <c r="AP27" s="299"/>
      <c r="AQ27" s="291"/>
      <c r="AR27" s="59" t="s">
        <v>33</v>
      </c>
      <c r="AS27" s="48">
        <f>COUNTIFS(JOURNAL!F:F,"3",JOURNAL!K:K,"2",JOURNAL!O:O,"OT +")</f>
        <v>0</v>
      </c>
      <c r="AT27" s="291"/>
      <c r="AU27" s="59" t="s">
        <v>33</v>
      </c>
      <c r="AV27" s="48">
        <f>COUNTIFS(JOURNAL!F:F,"3",JOURNAL!K:K,"3",JOURNAL!O:O,"OT +")</f>
        <v>0</v>
      </c>
      <c r="AW27" s="291"/>
      <c r="AX27" s="59" t="s">
        <v>33</v>
      </c>
      <c r="AY27" s="48">
        <f>COUNTIFS(JOURNAL!F:F,"3",JOURNAL!K:K,"4",JOURNAL!O:O,"OT +")</f>
        <v>0</v>
      </c>
      <c r="AZ27" s="291"/>
      <c r="BA27" s="59" t="s">
        <v>33</v>
      </c>
      <c r="BB27" s="48">
        <f>COUNTIFS(JOURNAL!F:F,"3",JOURNAL!K:K,"30",JOURNAL!O:O,"OT +")</f>
        <v>0</v>
      </c>
      <c r="BC27" s="291"/>
      <c r="BD27" s="59" t="s">
        <v>33</v>
      </c>
      <c r="BE27" s="48">
        <f>COUNTIFS(JOURNAL!F:F,"3",JOURNAL!K:K,"50",JOURNAL!O:O,"OT +")</f>
        <v>0</v>
      </c>
      <c r="BF27" s="291"/>
      <c r="BG27" s="59" t="s">
        <v>33</v>
      </c>
      <c r="BH27" s="48">
        <f>COUNTIFS(JOURNAL!F:F,"3",JOURNAL!K:K,"COMPLEX H",JOURNAL!O:O,"OT +")</f>
        <v>0</v>
      </c>
      <c r="BI27" s="291"/>
      <c r="BJ27" s="59" t="s">
        <v>33</v>
      </c>
      <c r="BK27" s="48">
        <f>COUNTIFS(JOURNAL!F:F,"3",JOURNAL!K:K,"COMPLEX D",JOURNAL!O:O,"OT +")</f>
        <v>0</v>
      </c>
      <c r="BL27" s="291"/>
      <c r="BM27" s="59" t="s">
        <v>33</v>
      </c>
      <c r="BN27" s="48">
        <f>COUNTIFS(JOURNAL!F:F,"3",JOURNAL!K:K,"Multi",JOURNAL!O:O,"OT +")</f>
        <v>0</v>
      </c>
      <c r="BO27" s="291"/>
      <c r="BP27" s="59" t="s">
        <v>33</v>
      </c>
      <c r="BQ27" s="48">
        <f>COUNTIFS(JOURNAL!F:F,"3",JOURNAL!K:K,"None",JOURNAL!O:O,"OT +")</f>
        <v>0</v>
      </c>
      <c r="BR27" s="294"/>
      <c r="BS27" s="59" t="s">
        <v>33</v>
      </c>
      <c r="BT27" s="48">
        <f>COUNTIFS(JOURNAL!F:F,"3",JOURNAL!K:K,"Probably Setup",JOURNAL!O:O,"OT +")</f>
        <v>0</v>
      </c>
    </row>
    <row r="28" spans="3:72" ht="20.25" customHeight="1" x14ac:dyDescent="0.25">
      <c r="C28" s="260" t="s">
        <v>45</v>
      </c>
      <c r="D28" s="111" t="s">
        <v>36</v>
      </c>
      <c r="E28" s="48">
        <f>COUNTIFS(JOURNAL!K:K,"3",JOURNAL!P:P,"SF")</f>
        <v>0</v>
      </c>
      <c r="F28" s="56" t="s">
        <v>32</v>
      </c>
      <c r="G28" s="48">
        <f>COUNTIFS(JOURNAL!K:K,"3",JOURNAL!O:O,"RF")</f>
        <v>0</v>
      </c>
      <c r="I28" s="260" t="s">
        <v>45</v>
      </c>
      <c r="J28" s="111" t="s">
        <v>36</v>
      </c>
      <c r="K28" s="48">
        <f>COUNTIFS(JOURNAL!K:K,"50",JOURNAL!P:P,"SF")</f>
        <v>0</v>
      </c>
      <c r="L28" s="56" t="s">
        <v>32</v>
      </c>
      <c r="M28" s="48">
        <f>COUNTIFS(JOURNAL!K:K,"50",JOURNAL!O:O,"RF")</f>
        <v>0</v>
      </c>
      <c r="O28" s="260" t="s">
        <v>45</v>
      </c>
      <c r="P28" s="111" t="s">
        <v>36</v>
      </c>
      <c r="Q28" s="48">
        <f>COUNTIFS(JOURNAL!K:K,"Complex H",JOURNAL!P:P,"SF")</f>
        <v>0</v>
      </c>
      <c r="R28" s="56" t="s">
        <v>32</v>
      </c>
      <c r="S28" s="48">
        <f>COUNTIFS(JOURNAL!K:K,"Complex H",JOURNAL!O:O,"RF")</f>
        <v>0</v>
      </c>
      <c r="U28" s="260" t="s">
        <v>45</v>
      </c>
      <c r="V28" s="111" t="s">
        <v>36</v>
      </c>
      <c r="W28" s="48">
        <f>COUNTIFS(JOURNAL!K:K,"Multi",JOURNAL!P:P,"SF")</f>
        <v>0</v>
      </c>
      <c r="X28" s="56" t="s">
        <v>32</v>
      </c>
      <c r="Y28" s="48">
        <f>COUNTIFS(JOURNAL!K:K,"Multi",JOURNAL!O:O,"RF")</f>
        <v>0</v>
      </c>
      <c r="AP28" s="299"/>
      <c r="AQ28" s="291"/>
      <c r="AR28" s="60" t="s">
        <v>34</v>
      </c>
      <c r="AS28" s="48">
        <f>COUNTIFS(JOURNAL!F:F,"3",JOURNAL!K:K,"2",JOURNAL!O:O,"OT -")</f>
        <v>0</v>
      </c>
      <c r="AT28" s="291"/>
      <c r="AU28" s="60" t="s">
        <v>34</v>
      </c>
      <c r="AV28" s="48">
        <f>COUNTIFS(JOURNAL!F:F,"3",JOURNAL!K:K,"3",JOURNAL!O:O,"OT -")</f>
        <v>0</v>
      </c>
      <c r="AW28" s="291"/>
      <c r="AX28" s="60" t="s">
        <v>34</v>
      </c>
      <c r="AY28" s="48">
        <f>COUNTIFS(JOURNAL!F:F,"3",JOURNAL!K:K,"4",JOURNAL!O:O,"OT -")</f>
        <v>0</v>
      </c>
      <c r="AZ28" s="291"/>
      <c r="BA28" s="60" t="s">
        <v>34</v>
      </c>
      <c r="BB28" s="48">
        <f>COUNTIFS(JOURNAL!F:F,"3",JOURNAL!K:K,"30",JOURNAL!O:O,"OT -")</f>
        <v>0</v>
      </c>
      <c r="BC28" s="291"/>
      <c r="BD28" s="60" t="s">
        <v>34</v>
      </c>
      <c r="BE28" s="48">
        <f>COUNTIFS(JOURNAL!F:F,"3",JOURNAL!K:K,"50",JOURNAL!O:O,"OT -")</f>
        <v>0</v>
      </c>
      <c r="BF28" s="291"/>
      <c r="BG28" s="60" t="s">
        <v>34</v>
      </c>
      <c r="BH28" s="48">
        <f>COUNTIFS(JOURNAL!F:F,"3",JOURNAL!K:K,"COMPLEX H",JOURNAL!O:O,"OT -")</f>
        <v>0</v>
      </c>
      <c r="BI28" s="291"/>
      <c r="BJ28" s="60" t="s">
        <v>34</v>
      </c>
      <c r="BK28" s="48">
        <f>COUNTIFS(JOURNAL!F:F,"3",JOURNAL!K:K,"COMPLEX D",JOURNAL!O:O,"OT -")</f>
        <v>0</v>
      </c>
      <c r="BL28" s="291"/>
      <c r="BM28" s="60" t="s">
        <v>34</v>
      </c>
      <c r="BN28" s="48">
        <f>COUNTIFS(JOURNAL!F:F,"3",JOURNAL!K:K,"Multi",JOURNAL!O:O,"OT -")</f>
        <v>0</v>
      </c>
      <c r="BO28" s="291"/>
      <c r="BP28" s="60" t="s">
        <v>34</v>
      </c>
      <c r="BQ28" s="48">
        <f>COUNTIFS(JOURNAL!F:F,"3",JOURNAL!K:K,"None",JOURNAL!O:O,"OT -")</f>
        <v>0</v>
      </c>
      <c r="BR28" s="294"/>
      <c r="BS28" s="60" t="s">
        <v>34</v>
      </c>
      <c r="BT28" s="48">
        <f>COUNTIFS(JOURNAL!F:F,"3",JOURNAL!K:K,"Probably Setup",JOURNAL!O:O,"OT -")</f>
        <v>0</v>
      </c>
    </row>
    <row r="29" spans="3:72" ht="17.25" customHeight="1" x14ac:dyDescent="0.25">
      <c r="C29" s="266"/>
      <c r="D29" s="112" t="s">
        <v>28</v>
      </c>
      <c r="E29" s="48">
        <f>COUNTIFS(JOURNAL!K:K,"3",JOURNAL!P:P,"TC")</f>
        <v>0</v>
      </c>
      <c r="F29" s="57" t="s">
        <v>30</v>
      </c>
      <c r="G29" s="48">
        <f>COUNTIFS(JOURNAL!K:K,"3",JOURNAL!O:O,"PS")</f>
        <v>0</v>
      </c>
      <c r="I29" s="266"/>
      <c r="J29" s="112" t="s">
        <v>28</v>
      </c>
      <c r="K29" s="48">
        <f>COUNTIFS(JOURNAL!K:K,"50",JOURNAL!P:P,"TC")</f>
        <v>0</v>
      </c>
      <c r="L29" s="57" t="s">
        <v>30</v>
      </c>
      <c r="M29" s="48">
        <f>COUNTIFS(JOURNAL!K:K,"50",JOURNAL!O:O,"PS")</f>
        <v>0</v>
      </c>
      <c r="O29" s="266"/>
      <c r="P29" s="112" t="s">
        <v>28</v>
      </c>
      <c r="Q29" s="48">
        <f>COUNTIFS(JOURNAL!K:K,"Complex H",JOURNAL!P:P,"TC")</f>
        <v>0</v>
      </c>
      <c r="R29" s="57" t="s">
        <v>30</v>
      </c>
      <c r="S29" s="48">
        <f>COUNTIFS(JOURNAL!K:K,"Complex H",JOURNAL!O:O,"PS")</f>
        <v>0</v>
      </c>
      <c r="U29" s="266"/>
      <c r="V29" s="112" t="s">
        <v>28</v>
      </c>
      <c r="W29" s="48">
        <f>COUNTIFS(JOURNAL!K:K,"Multi",JOURNAL!P:P,"TC")</f>
        <v>0</v>
      </c>
      <c r="X29" s="57" t="s">
        <v>30</v>
      </c>
      <c r="Y29" s="48">
        <f>COUNTIFS(JOURNAL!K:K,"Multi",JOURNAL!O:O,"PS")</f>
        <v>0</v>
      </c>
      <c r="AP29" s="299"/>
      <c r="AQ29" s="291"/>
      <c r="AR29" s="146" t="s">
        <v>115</v>
      </c>
      <c r="AS29" s="48">
        <f>SUM(AS22:AS28)</f>
        <v>0</v>
      </c>
      <c r="AT29" s="291"/>
      <c r="AU29" s="146" t="s">
        <v>115</v>
      </c>
      <c r="AV29" s="48">
        <f>SUM(AV22:AV28)</f>
        <v>0</v>
      </c>
      <c r="AW29" s="291"/>
      <c r="AX29" s="146" t="s">
        <v>115</v>
      </c>
      <c r="AY29" s="48">
        <f>SUM(AY22:AY28)</f>
        <v>0</v>
      </c>
      <c r="AZ29" s="291"/>
      <c r="BA29" s="146" t="s">
        <v>115</v>
      </c>
      <c r="BB29" s="48">
        <f>SUM(BB22:BB28)</f>
        <v>0</v>
      </c>
      <c r="BC29" s="291"/>
      <c r="BD29" s="146" t="s">
        <v>115</v>
      </c>
      <c r="BE29" s="48">
        <f>SUM(BE22:BE28)</f>
        <v>0</v>
      </c>
      <c r="BF29" s="291"/>
      <c r="BG29" s="146" t="s">
        <v>115</v>
      </c>
      <c r="BH29" s="48">
        <f>SUM(BH22:BH28)</f>
        <v>0</v>
      </c>
      <c r="BI29" s="291"/>
      <c r="BJ29" s="146" t="s">
        <v>115</v>
      </c>
      <c r="BK29" s="48">
        <f>SUM(BK22:BK28)</f>
        <v>0</v>
      </c>
      <c r="BL29" s="291"/>
      <c r="BM29" s="146" t="s">
        <v>115</v>
      </c>
      <c r="BN29" s="48">
        <f>SUM(BN22:BN28)</f>
        <v>0</v>
      </c>
      <c r="BO29" s="291"/>
      <c r="BP29" s="146" t="s">
        <v>115</v>
      </c>
      <c r="BQ29" s="48">
        <f>SUM(BQ22:BQ28)</f>
        <v>0</v>
      </c>
      <c r="BR29" s="294"/>
      <c r="BS29" s="146" t="s">
        <v>115</v>
      </c>
      <c r="BT29" s="48">
        <f>SUM(BT22:BT28)</f>
        <v>0</v>
      </c>
    </row>
    <row r="30" spans="3:72" ht="18.75" customHeight="1" x14ac:dyDescent="0.25">
      <c r="C30" s="266"/>
      <c r="D30" s="114" t="s">
        <v>37</v>
      </c>
      <c r="E30" s="48">
        <f>COUNTIFS(JOURNAL!K:K,"3",JOURNAL!P:P,"DC")</f>
        <v>0</v>
      </c>
      <c r="F30" s="58" t="s">
        <v>31</v>
      </c>
      <c r="G30" s="48">
        <f>COUNTIFS(JOURNAL!K:K,"3",JOURNAL!O:O,"LS")</f>
        <v>0</v>
      </c>
      <c r="I30" s="266"/>
      <c r="J30" s="114" t="s">
        <v>37</v>
      </c>
      <c r="K30" s="48">
        <f>COUNTIFS(JOURNAL!K:K,"50",JOURNAL!P:P,"DC")</f>
        <v>0</v>
      </c>
      <c r="L30" s="58" t="s">
        <v>31</v>
      </c>
      <c r="M30" s="48">
        <f>COUNTIFS(JOURNAL!K:K,"50",JOURNAL!O:O,"LS")</f>
        <v>0</v>
      </c>
      <c r="O30" s="266"/>
      <c r="P30" s="114" t="s">
        <v>37</v>
      </c>
      <c r="Q30" s="48">
        <f>COUNTIFS(JOURNAL!K:K,"Complex H",JOURNAL!P:P,"DC")</f>
        <v>0</v>
      </c>
      <c r="R30" s="58" t="s">
        <v>31</v>
      </c>
      <c r="S30" s="48">
        <f>COUNTIFS(JOURNAL!K:K,"Complex H",JOURNAL!O:O,"LS")</f>
        <v>0</v>
      </c>
      <c r="U30" s="266"/>
      <c r="V30" s="114" t="s">
        <v>37</v>
      </c>
      <c r="W30" s="48">
        <f>COUNTIFS(JOURNAL!K:K,"Multi",JOURNAL!P:P,"DC")</f>
        <v>0</v>
      </c>
      <c r="X30" s="58" t="s">
        <v>31</v>
      </c>
      <c r="Y30" s="48">
        <f>COUNTIFS(JOURNAL!K:K,"Multi",JOURNAL!O:O,"LS")</f>
        <v>0</v>
      </c>
      <c r="AP30" s="299"/>
      <c r="AQ30" s="292"/>
      <c r="AR30" s="191" t="s">
        <v>44</v>
      </c>
      <c r="AS30" s="48" t="e">
        <f>SUM(AS22,AS24,AS25,AS27)/AS29</f>
        <v>#DIV/0!</v>
      </c>
      <c r="AT30" s="292"/>
      <c r="AU30" s="191" t="s">
        <v>44</v>
      </c>
      <c r="AV30" s="48" t="e">
        <f>SUM(AV22,AV24,AV25,AV27)/AV29</f>
        <v>#DIV/0!</v>
      </c>
      <c r="AW30" s="292"/>
      <c r="AX30" s="191" t="s">
        <v>44</v>
      </c>
      <c r="AY30" s="48" t="e">
        <f>SUM(AY22,AY24,AY25,AY27)/AY29</f>
        <v>#DIV/0!</v>
      </c>
      <c r="AZ30" s="292"/>
      <c r="BA30" s="191" t="s">
        <v>44</v>
      </c>
      <c r="BB30" s="48" t="e">
        <f>SUM(BB22,BB24,BB25,BB27)/BB29</f>
        <v>#DIV/0!</v>
      </c>
      <c r="BC30" s="292"/>
      <c r="BD30" s="191" t="s">
        <v>44</v>
      </c>
      <c r="BE30" s="48" t="e">
        <f>SUM(BE22,BE24,BE25,BE27)/BE29</f>
        <v>#DIV/0!</v>
      </c>
      <c r="BF30" s="292"/>
      <c r="BG30" s="191" t="s">
        <v>44</v>
      </c>
      <c r="BH30" s="48" t="e">
        <f>SUM(BH22,BH24,BH25,BH27)/BH29</f>
        <v>#DIV/0!</v>
      </c>
      <c r="BI30" s="292"/>
      <c r="BJ30" s="191" t="s">
        <v>44</v>
      </c>
      <c r="BK30" s="48" t="e">
        <f>SUM(BK22,BK24,BK25,BK27)/BK29</f>
        <v>#DIV/0!</v>
      </c>
      <c r="BL30" s="292"/>
      <c r="BM30" s="191" t="s">
        <v>44</v>
      </c>
      <c r="BN30" s="48" t="e">
        <f>SUM(BN22,BN24,BN25,BN27)/BN29</f>
        <v>#DIV/0!</v>
      </c>
      <c r="BO30" s="292"/>
      <c r="BP30" s="191" t="s">
        <v>44</v>
      </c>
      <c r="BQ30" s="48" t="e">
        <f>SUM(BQ22,BQ24,BQ25,BQ27)/BQ29</f>
        <v>#DIV/0!</v>
      </c>
      <c r="BR30" s="295"/>
      <c r="BS30" s="191" t="s">
        <v>44</v>
      </c>
      <c r="BT30" s="48" t="e">
        <f>SUM(BT22,BT24,BT25,BT27)/BT29</f>
        <v>#DIV/0!</v>
      </c>
    </row>
    <row r="31" spans="3:72" ht="15.75" x14ac:dyDescent="0.25">
      <c r="C31" s="266"/>
      <c r="D31" s="115" t="s">
        <v>39</v>
      </c>
      <c r="E31" s="48">
        <f>COUNTIFS(JOURNAL!K:K,"3",JOURNAL!P:P,"RNG")</f>
        <v>0</v>
      </c>
      <c r="F31" s="59" t="s">
        <v>33</v>
      </c>
      <c r="G31" s="48">
        <f>COUNTIFS(JOURNAL!K:K,"3",JOURNAL!O:O,"OT +")</f>
        <v>0</v>
      </c>
      <c r="I31" s="266"/>
      <c r="J31" s="115" t="s">
        <v>39</v>
      </c>
      <c r="K31" s="48">
        <f>COUNTIFS(JOURNAL!K:K,"50",JOURNAL!P:P,"RNG")</f>
        <v>0</v>
      </c>
      <c r="L31" s="59" t="s">
        <v>33</v>
      </c>
      <c r="M31" s="48">
        <f>COUNTIFS(JOURNAL!K:K,"50",JOURNAL!O:O,"OT +")</f>
        <v>0</v>
      </c>
      <c r="O31" s="266"/>
      <c r="P31" s="115" t="s">
        <v>39</v>
      </c>
      <c r="Q31" s="48">
        <f>COUNTIFS(JOURNAL!K:K,"Complex H",JOURNAL!P:P,"RNG")</f>
        <v>0</v>
      </c>
      <c r="R31" s="59" t="s">
        <v>33</v>
      </c>
      <c r="S31" s="48">
        <f>COUNTIFS(JOURNAL!K:K,"Complex H",JOURNAL!O:O,"OT +")</f>
        <v>0</v>
      </c>
      <c r="U31" s="266"/>
      <c r="V31" s="115" t="s">
        <v>39</v>
      </c>
      <c r="W31" s="48">
        <f>COUNTIFS(JOURNAL!K:K,"Multi",JOURNAL!P:P,"RNG")</f>
        <v>0</v>
      </c>
      <c r="X31" s="59" t="s">
        <v>33</v>
      </c>
      <c r="Y31" s="48">
        <f>COUNTIFS(JOURNAL!K:K,"Multi",JOURNAL!O:O,"OT +")</f>
        <v>0</v>
      </c>
    </row>
    <row r="32" spans="3:72" ht="18" customHeight="1" x14ac:dyDescent="0.25">
      <c r="C32" s="266"/>
      <c r="D32" s="116" t="s">
        <v>38</v>
      </c>
      <c r="E32" s="48">
        <f>COUNTIFS(JOURNAL!K:K,"3",JOURNAL!P:P,"Keep Went")</f>
        <v>0</v>
      </c>
      <c r="F32" s="60" t="s">
        <v>34</v>
      </c>
      <c r="G32" s="48">
        <f>COUNTIFS(JOURNAL!K:K,"3",JOURNAL!O:O,"OT -")</f>
        <v>0</v>
      </c>
      <c r="I32" s="266"/>
      <c r="J32" s="116" t="s">
        <v>38</v>
      </c>
      <c r="K32" s="48">
        <f>COUNTIFS(JOURNAL!K:K,"50",JOURNAL!P:P,"Keep Went")</f>
        <v>0</v>
      </c>
      <c r="L32" s="60" t="s">
        <v>34</v>
      </c>
      <c r="M32" s="48">
        <f>COUNTIFS(JOURNAL!K:K,"50",JOURNAL!O:O,"OT -")</f>
        <v>0</v>
      </c>
      <c r="O32" s="266"/>
      <c r="P32" s="116" t="s">
        <v>38</v>
      </c>
      <c r="Q32" s="48">
        <f>COUNTIFS(JOURNAL!K:K,"Complex H",JOURNAL!P:P,"Keep Went")</f>
        <v>0</v>
      </c>
      <c r="R32" s="60" t="s">
        <v>34</v>
      </c>
      <c r="S32" s="48">
        <f>COUNTIFS(JOURNAL!K:K,"Complex H",JOURNAL!O:O,"OT -")</f>
        <v>0</v>
      </c>
      <c r="U32" s="266"/>
      <c r="V32" s="116" t="s">
        <v>38</v>
      </c>
      <c r="W32" s="48">
        <f>COUNTIFS(JOURNAL!K:K,"Multi",JOURNAL!P:P,"Keep Went")</f>
        <v>0</v>
      </c>
      <c r="X32" s="60" t="s">
        <v>34</v>
      </c>
      <c r="Y32" s="48">
        <f>COUNTIFS(JOURNAL!K:K,"Multi",JOURNAL!O:O,"OT -")</f>
        <v>0</v>
      </c>
      <c r="AP32" s="299" t="s">
        <v>71</v>
      </c>
      <c r="AQ32" s="290" t="s">
        <v>161</v>
      </c>
      <c r="AR32" s="54" t="s">
        <v>27</v>
      </c>
      <c r="AS32" s="48">
        <f>COUNTIFS(JOURNAL!F:F,"4",JOURNAL!K:K,"2",JOURNAL!O:O,"TP")</f>
        <v>0</v>
      </c>
      <c r="AT32" s="290" t="s">
        <v>162</v>
      </c>
      <c r="AU32" s="54" t="s">
        <v>27</v>
      </c>
      <c r="AV32" s="48">
        <f>COUNTIFS(JOURNAL!F:F,"4",JOURNAL!K:K,"3",JOURNAL!O:O,"TP")</f>
        <v>0</v>
      </c>
      <c r="AW32" s="290" t="s">
        <v>163</v>
      </c>
      <c r="AX32" s="54" t="s">
        <v>27</v>
      </c>
      <c r="AY32" s="48">
        <f>COUNTIFS(JOURNAL!F:F,"4",JOURNAL!K:K,"4",JOURNAL!O:O,"TP")</f>
        <v>0</v>
      </c>
      <c r="AZ32" s="290" t="s">
        <v>164</v>
      </c>
      <c r="BA32" s="54" t="s">
        <v>27</v>
      </c>
      <c r="BB32" s="48">
        <f>COUNTIFS(JOURNAL!F:F,"4",JOURNAL!K:K,"30",JOURNAL!O:O,"TP")</f>
        <v>0</v>
      </c>
      <c r="BC32" s="290" t="s">
        <v>165</v>
      </c>
      <c r="BD32" s="54" t="s">
        <v>27</v>
      </c>
      <c r="BE32" s="48">
        <f>COUNTIFS(JOURNAL!F:F,"4",JOURNAL!K:K,"50",JOURNAL!O:O,"TP")</f>
        <v>0</v>
      </c>
      <c r="BF32" s="290" t="s">
        <v>156</v>
      </c>
      <c r="BG32" s="54" t="s">
        <v>27</v>
      </c>
      <c r="BH32" s="48">
        <f>COUNTIFS(JOURNAL!F:F,"4",JOURNAL!K:K,"COMPLEX H",JOURNAL!O:O,"TP")</f>
        <v>0</v>
      </c>
      <c r="BI32" s="290" t="s">
        <v>66</v>
      </c>
      <c r="BJ32" s="54" t="s">
        <v>27</v>
      </c>
      <c r="BK32" s="48">
        <f>COUNTIFS(JOURNAL!F:F,"4",JOURNAL!K:K,"COMPLEX D",JOURNAL!O:O,"TP")</f>
        <v>0</v>
      </c>
      <c r="BL32" s="290" t="s">
        <v>152</v>
      </c>
      <c r="BM32" s="54" t="s">
        <v>27</v>
      </c>
      <c r="BN32" s="48">
        <f>COUNTIFS(JOURNAL!F:F,"4",JOURNAL!K:K,"Multi",JOURNAL!O:O,"TP")</f>
        <v>0</v>
      </c>
      <c r="BO32" s="290" t="s">
        <v>171</v>
      </c>
      <c r="BP32" s="54" t="s">
        <v>27</v>
      </c>
      <c r="BQ32" s="48">
        <f>COUNTIFS(JOURNAL!F:F,"4",JOURNAL!K:K,"None",JOURNAL!O:O,"TP")</f>
        <v>0</v>
      </c>
      <c r="BR32" s="293" t="s">
        <v>172</v>
      </c>
      <c r="BS32" s="54" t="s">
        <v>27</v>
      </c>
      <c r="BT32" s="48">
        <f>COUNTIFS(JOURNAL!F:F,"4",JOURNAL!K:K,"Probably Setup",JOURNAL!O:O,"TP")</f>
        <v>0</v>
      </c>
    </row>
    <row r="33" spans="3:72" ht="15.75" customHeight="1" x14ac:dyDescent="0.25">
      <c r="C33" s="261"/>
      <c r="D33" s="118" t="s">
        <v>48</v>
      </c>
      <c r="E33" s="106">
        <f>SUMIF(JOURNAL!K:K,"3",JOURNAL!Q:Q)</f>
        <v>0</v>
      </c>
      <c r="F33" s="119" t="s">
        <v>44</v>
      </c>
      <c r="G33" s="184" t="e">
        <f>SUM(G26,G28,G29,G31)/D26</f>
        <v>#DIV/0!</v>
      </c>
      <c r="I33" s="261"/>
      <c r="J33" s="118" t="s">
        <v>48</v>
      </c>
      <c r="K33" s="106">
        <f>SUMIF(JOURNAL!K:K,"50",JOURNAL!Q:Q)</f>
        <v>0</v>
      </c>
      <c r="L33" s="119" t="s">
        <v>44</v>
      </c>
      <c r="M33" s="184" t="e">
        <f>SUM(M26,M28,M29,M31)/J26</f>
        <v>#DIV/0!</v>
      </c>
      <c r="O33" s="261"/>
      <c r="P33" s="118" t="s">
        <v>48</v>
      </c>
      <c r="Q33" s="106">
        <f>SUMIF(JOURNAL!K:K,"Complex H",JOURNAL!Q:Q)</f>
        <v>0</v>
      </c>
      <c r="R33" s="119" t="s">
        <v>44</v>
      </c>
      <c r="S33" s="184" t="e">
        <f>SUM(S26,S28,S29,S31)/P26</f>
        <v>#DIV/0!</v>
      </c>
      <c r="U33" s="261"/>
      <c r="V33" s="118" t="s">
        <v>48</v>
      </c>
      <c r="W33" s="106">
        <f>SUMIF(JOURNAL!K:K,"Multi",JOURNAL!Q:Q)</f>
        <v>0</v>
      </c>
      <c r="X33" s="119" t="s">
        <v>44</v>
      </c>
      <c r="Y33" s="184" t="e">
        <f>SUM(Y26,Y28,Y29,Y31)/V26</f>
        <v>#DIV/0!</v>
      </c>
      <c r="AP33" s="299"/>
      <c r="AQ33" s="291"/>
      <c r="AR33" s="55" t="s">
        <v>29</v>
      </c>
      <c r="AS33" s="48">
        <f>COUNTIFS(JOURNAL!F:F,"4",JOURNAL!K:K,"2",JOURNAL!O:O,"SL")</f>
        <v>0</v>
      </c>
      <c r="AT33" s="291"/>
      <c r="AU33" s="55" t="s">
        <v>29</v>
      </c>
      <c r="AV33" s="48">
        <f>COUNTIFS(JOURNAL!F:F,"4",JOURNAL!K:K,"3",JOURNAL!O:O,"SL")</f>
        <v>0</v>
      </c>
      <c r="AW33" s="291"/>
      <c r="AX33" s="55" t="s">
        <v>29</v>
      </c>
      <c r="AY33" s="48">
        <f>COUNTIFS(JOURNAL!F:F,"4",JOURNAL!K:K,"4",JOURNAL!O:O,"SL")</f>
        <v>0</v>
      </c>
      <c r="AZ33" s="291"/>
      <c r="BA33" s="55" t="s">
        <v>29</v>
      </c>
      <c r="BB33" s="48">
        <f>COUNTIFS(JOURNAL!F:F,"4",JOURNAL!K:K,"30",JOURNAL!O:O,"SL")</f>
        <v>0</v>
      </c>
      <c r="BC33" s="291"/>
      <c r="BD33" s="55" t="s">
        <v>29</v>
      </c>
      <c r="BE33" s="48">
        <f>COUNTIFS(JOURNAL!F:F,"4",JOURNAL!K:K,"50",JOURNAL!O:O,"SL")</f>
        <v>0</v>
      </c>
      <c r="BF33" s="291"/>
      <c r="BG33" s="55" t="s">
        <v>29</v>
      </c>
      <c r="BH33" s="48">
        <f>COUNTIFS(JOURNAL!F:F,"4",JOURNAL!K:K,"COMPLEX H",JOURNAL!O:O,"SL")</f>
        <v>0</v>
      </c>
      <c r="BI33" s="291"/>
      <c r="BJ33" s="55" t="s">
        <v>29</v>
      </c>
      <c r="BK33" s="48">
        <f>COUNTIFS(JOURNAL!F:F,"4",JOURNAL!K:K,"COMPLEX D",JOURNAL!O:O,"SL")</f>
        <v>0</v>
      </c>
      <c r="BL33" s="291"/>
      <c r="BM33" s="55" t="s">
        <v>29</v>
      </c>
      <c r="BN33" s="48">
        <f>COUNTIFS(JOURNAL!F:F,"4",JOURNAL!K:K,"Multi",JOURNAL!O:O,"SL")</f>
        <v>0</v>
      </c>
      <c r="BO33" s="291"/>
      <c r="BP33" s="55" t="s">
        <v>29</v>
      </c>
      <c r="BQ33" s="48">
        <f>COUNTIFS(JOURNAL!F:F,"4",JOURNAL!K:K,"None",JOURNAL!O:O,"SL")</f>
        <v>0</v>
      </c>
      <c r="BR33" s="294"/>
      <c r="BS33" s="55" t="s">
        <v>29</v>
      </c>
      <c r="BT33" s="48">
        <f>COUNTIFS(JOURNAL!F:F,"4",JOURNAL!K:K,"Probably Setup",JOURNAL!O:O,"SL")</f>
        <v>0</v>
      </c>
    </row>
    <row r="34" spans="3:72" ht="15.75" customHeight="1" x14ac:dyDescent="0.25">
      <c r="AP34" s="299"/>
      <c r="AQ34" s="291"/>
      <c r="AR34" s="56" t="s">
        <v>32</v>
      </c>
      <c r="AS34" s="48">
        <f>COUNTIFS(JOURNAL!F:F,"4",JOURNAL!K:K,"2",JOURNAL!O:O,"RF")</f>
        <v>0</v>
      </c>
      <c r="AT34" s="291"/>
      <c r="AU34" s="56" t="s">
        <v>32</v>
      </c>
      <c r="AV34" s="48">
        <f>COUNTIFS(JOURNAL!F:F,"4",JOURNAL!K:K,"3",JOURNAL!O:O,"RF")</f>
        <v>0</v>
      </c>
      <c r="AW34" s="291"/>
      <c r="AX34" s="56" t="s">
        <v>32</v>
      </c>
      <c r="AY34" s="48">
        <f>COUNTIFS(JOURNAL!F:F,"4",JOURNAL!K:K,"4",JOURNAL!O:O,"RF")</f>
        <v>0</v>
      </c>
      <c r="AZ34" s="291"/>
      <c r="BA34" s="56" t="s">
        <v>32</v>
      </c>
      <c r="BB34" s="48">
        <f>COUNTIFS(JOURNAL!F:F,"4",JOURNAL!K:K,"30",JOURNAL!O:O,"RF")</f>
        <v>0</v>
      </c>
      <c r="BC34" s="291"/>
      <c r="BD34" s="56" t="s">
        <v>32</v>
      </c>
      <c r="BE34" s="48">
        <f>COUNTIFS(JOURNAL!F:F,"4",JOURNAL!K:K,"50",JOURNAL!O:O,"RF")</f>
        <v>0</v>
      </c>
      <c r="BF34" s="291"/>
      <c r="BG34" s="56" t="s">
        <v>32</v>
      </c>
      <c r="BH34" s="48">
        <f>COUNTIFS(JOURNAL!F:F,"4",JOURNAL!K:K,"COMPLEX H",JOURNAL!O:O,"RF")</f>
        <v>0</v>
      </c>
      <c r="BI34" s="291"/>
      <c r="BJ34" s="56" t="s">
        <v>32</v>
      </c>
      <c r="BK34" s="48">
        <f>COUNTIFS(JOURNAL!F:F,"4",JOURNAL!K:K,"COMPLEX D",JOURNAL!O:O,"RF")</f>
        <v>0</v>
      </c>
      <c r="BL34" s="291"/>
      <c r="BM34" s="56" t="s">
        <v>32</v>
      </c>
      <c r="BN34" s="48">
        <f>COUNTIFS(JOURNAL!F:F,"4",JOURNAL!K:K,"Multi",JOURNAL!O:O,"RF")</f>
        <v>0</v>
      </c>
      <c r="BO34" s="291"/>
      <c r="BP34" s="56" t="s">
        <v>32</v>
      </c>
      <c r="BQ34" s="48">
        <f>COUNTIFS(JOURNAL!F:F,"4",JOURNAL!K:K,"None",JOURNAL!O:O,"RF")</f>
        <v>0</v>
      </c>
      <c r="BR34" s="294"/>
      <c r="BS34" s="56" t="s">
        <v>32</v>
      </c>
      <c r="BT34" s="48">
        <f>COUNTIFS(JOURNAL!F:F,"4",JOURNAL!K:K,"Probably Setup",JOURNAL!O:O,"RF")</f>
        <v>0</v>
      </c>
    </row>
    <row r="35" spans="3:72" ht="15.75" x14ac:dyDescent="0.25">
      <c r="AP35" s="299"/>
      <c r="AQ35" s="291"/>
      <c r="AR35" s="57" t="s">
        <v>30</v>
      </c>
      <c r="AS35" s="48">
        <f>COUNTIFS(JOURNAL!F:F,"4",JOURNAL!K:K,"2",JOURNAL!O:O,"PS")</f>
        <v>0</v>
      </c>
      <c r="AT35" s="291"/>
      <c r="AU35" s="57" t="s">
        <v>30</v>
      </c>
      <c r="AV35" s="48">
        <f>COUNTIFS(JOURNAL!F:F,"4",JOURNAL!K:K,"3",JOURNAL!O:O,"PS")</f>
        <v>0</v>
      </c>
      <c r="AW35" s="291"/>
      <c r="AX35" s="57" t="s">
        <v>30</v>
      </c>
      <c r="AY35" s="48">
        <f>COUNTIFS(JOURNAL!F:F,"4",JOURNAL!K:K,"4",JOURNAL!O:O,"PS")</f>
        <v>0</v>
      </c>
      <c r="AZ35" s="291"/>
      <c r="BA35" s="57" t="s">
        <v>30</v>
      </c>
      <c r="BB35" s="48">
        <f>COUNTIFS(JOURNAL!F:F,"4",JOURNAL!K:K,"30",JOURNAL!O:O,"PS")</f>
        <v>0</v>
      </c>
      <c r="BC35" s="291"/>
      <c r="BD35" s="57" t="s">
        <v>30</v>
      </c>
      <c r="BE35" s="48">
        <f>COUNTIFS(JOURNAL!F:F,"4",JOURNAL!K:K,"50",JOURNAL!O:O,"PS")</f>
        <v>0</v>
      </c>
      <c r="BF35" s="291"/>
      <c r="BG35" s="57" t="s">
        <v>30</v>
      </c>
      <c r="BH35" s="48">
        <f>COUNTIFS(JOURNAL!F:F,"4",JOURNAL!K:K,"COMPLEX H",JOURNAL!O:O,"PS")</f>
        <v>0</v>
      </c>
      <c r="BI35" s="291"/>
      <c r="BJ35" s="57" t="s">
        <v>30</v>
      </c>
      <c r="BK35" s="48">
        <f>COUNTIFS(JOURNAL!F:F,"4",JOURNAL!K:K,"COMPLEX D",JOURNAL!O:O,"PS")</f>
        <v>0</v>
      </c>
      <c r="BL35" s="291"/>
      <c r="BM35" s="57" t="s">
        <v>30</v>
      </c>
      <c r="BN35" s="48">
        <f>COUNTIFS(JOURNAL!F:F,"4",JOURNAL!K:K,"Multi",JOURNAL!O:O,"PS")</f>
        <v>0</v>
      </c>
      <c r="BO35" s="291"/>
      <c r="BP35" s="57" t="s">
        <v>30</v>
      </c>
      <c r="BQ35" s="48">
        <f>COUNTIFS(JOURNAL!F:F,"4",JOURNAL!K:K,"None",JOURNAL!O:O,"PS")</f>
        <v>0</v>
      </c>
      <c r="BR35" s="294"/>
      <c r="BS35" s="57" t="s">
        <v>30</v>
      </c>
      <c r="BT35" s="48">
        <f>COUNTIFS(JOURNAL!F:F,"4",JOURNAL!K:K,"Probably Setup",JOURNAL!O:O,"PS")</f>
        <v>0</v>
      </c>
    </row>
    <row r="36" spans="3:72" ht="15.75" x14ac:dyDescent="0.25">
      <c r="AP36" s="299"/>
      <c r="AQ36" s="291"/>
      <c r="AR36" s="58" t="s">
        <v>31</v>
      </c>
      <c r="AS36" s="48">
        <f>COUNTIFS(JOURNAL!F:F,"4",JOURNAL!K:K,"2",JOURNAL!O:O,"LS")</f>
        <v>0</v>
      </c>
      <c r="AT36" s="291"/>
      <c r="AU36" s="58" t="s">
        <v>31</v>
      </c>
      <c r="AV36" s="48">
        <f>COUNTIFS(JOURNAL!F:F,"4",JOURNAL!K:K,"3",JOURNAL!O:O,"LS")</f>
        <v>0</v>
      </c>
      <c r="AW36" s="291"/>
      <c r="AX36" s="58" t="s">
        <v>31</v>
      </c>
      <c r="AY36" s="48">
        <f>COUNTIFS(JOURNAL!F:F,"4",JOURNAL!K:K,"4",JOURNAL!O:O,"LS")</f>
        <v>0</v>
      </c>
      <c r="AZ36" s="291"/>
      <c r="BA36" s="58" t="s">
        <v>31</v>
      </c>
      <c r="BB36" s="48">
        <f>COUNTIFS(JOURNAL!F:F,"4",JOURNAL!K:K,"30",JOURNAL!O:O,"LS")</f>
        <v>0</v>
      </c>
      <c r="BC36" s="291"/>
      <c r="BD36" s="58" t="s">
        <v>31</v>
      </c>
      <c r="BE36" s="48">
        <f>COUNTIFS(JOURNAL!F:F,"4",JOURNAL!K:K,"50",JOURNAL!O:O,"LS")</f>
        <v>0</v>
      </c>
      <c r="BF36" s="291"/>
      <c r="BG36" s="58" t="s">
        <v>31</v>
      </c>
      <c r="BH36" s="48">
        <f>COUNTIFS(JOURNAL!F:F,"4",JOURNAL!K:K,"COMPLEX H",JOURNAL!O:O,"LS")</f>
        <v>0</v>
      </c>
      <c r="BI36" s="291"/>
      <c r="BJ36" s="58" t="s">
        <v>31</v>
      </c>
      <c r="BK36" s="48">
        <f>COUNTIFS(JOURNAL!F:F,"4",JOURNAL!K:K,"COMPLEX D",JOURNAL!O:O,"LS")</f>
        <v>0</v>
      </c>
      <c r="BL36" s="291"/>
      <c r="BM36" s="58" t="s">
        <v>31</v>
      </c>
      <c r="BN36" s="48">
        <f>COUNTIFS(JOURNAL!F:F,"4",JOURNAL!K:K,"Multi",JOURNAL!O:O,"LS")</f>
        <v>0</v>
      </c>
      <c r="BO36" s="291"/>
      <c r="BP36" s="58" t="s">
        <v>31</v>
      </c>
      <c r="BQ36" s="48">
        <f>COUNTIFS(JOURNAL!F:F,"4",JOURNAL!K:K,"None",JOURNAL!O:O,"LS")</f>
        <v>0</v>
      </c>
      <c r="BR36" s="294"/>
      <c r="BS36" s="58" t="s">
        <v>31</v>
      </c>
      <c r="BT36" s="48">
        <f>COUNTIFS(JOURNAL!F:F,"4",JOURNAL!K:K,"Probably Setup",JOURNAL!O:O,"LS")</f>
        <v>0</v>
      </c>
    </row>
    <row r="37" spans="3:72" ht="15.75" x14ac:dyDescent="0.25">
      <c r="AP37" s="299"/>
      <c r="AQ37" s="291"/>
      <c r="AR37" s="59" t="s">
        <v>33</v>
      </c>
      <c r="AS37" s="48">
        <f>COUNTIFS(JOURNAL!F:F,"4",JOURNAL!K:K,"2",JOURNAL!O:O,"OT +")</f>
        <v>0</v>
      </c>
      <c r="AT37" s="291"/>
      <c r="AU37" s="59" t="s">
        <v>33</v>
      </c>
      <c r="AV37" s="48">
        <f>COUNTIFS(JOURNAL!F:F,"4",JOURNAL!K:K,"3",JOURNAL!O:O,"OT +")</f>
        <v>0</v>
      </c>
      <c r="AW37" s="291"/>
      <c r="AX37" s="59" t="s">
        <v>33</v>
      </c>
      <c r="AY37" s="48">
        <f>COUNTIFS(JOURNAL!F:F,"4",JOURNAL!K:K,"4",JOURNAL!O:O,"OT +")</f>
        <v>0</v>
      </c>
      <c r="AZ37" s="291"/>
      <c r="BA37" s="59" t="s">
        <v>33</v>
      </c>
      <c r="BB37" s="48">
        <f>COUNTIFS(JOURNAL!F:F,"4",JOURNAL!K:K,"30",JOURNAL!O:O,"OT +")</f>
        <v>0</v>
      </c>
      <c r="BC37" s="291"/>
      <c r="BD37" s="59" t="s">
        <v>33</v>
      </c>
      <c r="BE37" s="48">
        <f>COUNTIFS(JOURNAL!F:F,"4",JOURNAL!K:K,"50",JOURNAL!O:O,"OT +")</f>
        <v>0</v>
      </c>
      <c r="BF37" s="291"/>
      <c r="BG37" s="59" t="s">
        <v>33</v>
      </c>
      <c r="BH37" s="48">
        <f>COUNTIFS(JOURNAL!F:F,"4",JOURNAL!K:K,"COMPLEX H",JOURNAL!O:O,"OT +")</f>
        <v>0</v>
      </c>
      <c r="BI37" s="291"/>
      <c r="BJ37" s="59" t="s">
        <v>33</v>
      </c>
      <c r="BK37" s="48">
        <f>COUNTIFS(JOURNAL!F:F,"4",JOURNAL!K:K,"COMPLEX D",JOURNAL!O:O,"OT +")</f>
        <v>0</v>
      </c>
      <c r="BL37" s="291"/>
      <c r="BM37" s="59" t="s">
        <v>33</v>
      </c>
      <c r="BN37" s="48">
        <f>COUNTIFS(JOURNAL!F:F,"4",JOURNAL!K:K,"Multi",JOURNAL!O:O,"OT +")</f>
        <v>0</v>
      </c>
      <c r="BO37" s="291"/>
      <c r="BP37" s="59" t="s">
        <v>33</v>
      </c>
      <c r="BQ37" s="48">
        <f>COUNTIFS(JOURNAL!F:F,"4",JOURNAL!K:K,"None",JOURNAL!O:O,"OT +")</f>
        <v>0</v>
      </c>
      <c r="BR37" s="294"/>
      <c r="BS37" s="59" t="s">
        <v>33</v>
      </c>
      <c r="BT37" s="48">
        <f>COUNTIFS(JOURNAL!F:F,"4",JOURNAL!K:K,"Probably Setup",JOURNAL!O:O,"OT +")</f>
        <v>0</v>
      </c>
    </row>
    <row r="38" spans="3:72" ht="15.75" x14ac:dyDescent="0.25">
      <c r="AP38" s="299"/>
      <c r="AQ38" s="291"/>
      <c r="AR38" s="60" t="s">
        <v>34</v>
      </c>
      <c r="AS38" s="48">
        <f>COUNTIFS(JOURNAL!F:F,"4",JOURNAL!K:K,"2",JOURNAL!O:O,"OT -")</f>
        <v>0</v>
      </c>
      <c r="AT38" s="291"/>
      <c r="AU38" s="60" t="s">
        <v>34</v>
      </c>
      <c r="AV38" s="48">
        <f>COUNTIFS(JOURNAL!F:F,"4",JOURNAL!K:K,"3",JOURNAL!O:O,"OT -")</f>
        <v>0</v>
      </c>
      <c r="AW38" s="291"/>
      <c r="AX38" s="60" t="s">
        <v>34</v>
      </c>
      <c r="AY38" s="48">
        <f>COUNTIFS(JOURNAL!F:F,"4",JOURNAL!K:K,"4",JOURNAL!O:O,"OT -")</f>
        <v>0</v>
      </c>
      <c r="AZ38" s="291"/>
      <c r="BA38" s="60" t="s">
        <v>34</v>
      </c>
      <c r="BB38" s="48">
        <f>COUNTIFS(JOURNAL!F:F,"4",JOURNAL!K:K,"30",JOURNAL!O:O,"OT -")</f>
        <v>0</v>
      </c>
      <c r="BC38" s="291"/>
      <c r="BD38" s="60" t="s">
        <v>34</v>
      </c>
      <c r="BE38" s="48">
        <f>COUNTIFS(JOURNAL!F:F,"4",JOURNAL!K:K,"50",JOURNAL!O:O,"OT -")</f>
        <v>0</v>
      </c>
      <c r="BF38" s="291"/>
      <c r="BG38" s="60" t="s">
        <v>34</v>
      </c>
      <c r="BH38" s="48">
        <f>COUNTIFS(JOURNAL!F:F,"4",JOURNAL!K:K,"COMPLEX H",JOURNAL!O:O,"OT -")</f>
        <v>0</v>
      </c>
      <c r="BI38" s="291"/>
      <c r="BJ38" s="60" t="s">
        <v>34</v>
      </c>
      <c r="BK38" s="48">
        <f>COUNTIFS(JOURNAL!F:F,"4",JOURNAL!K:K,"COMPLEX D",JOURNAL!O:O,"OT -")</f>
        <v>0</v>
      </c>
      <c r="BL38" s="291"/>
      <c r="BM38" s="60" t="s">
        <v>34</v>
      </c>
      <c r="BN38" s="48">
        <f>COUNTIFS(JOURNAL!F:F,"4",JOURNAL!K:K,"Multi",JOURNAL!O:O,"OT -")</f>
        <v>0</v>
      </c>
      <c r="BO38" s="291"/>
      <c r="BP38" s="60" t="s">
        <v>34</v>
      </c>
      <c r="BQ38" s="48">
        <f>COUNTIFS(JOURNAL!F:F,"4",JOURNAL!K:K,"None",JOURNAL!O:O,"OT -")</f>
        <v>0</v>
      </c>
      <c r="BR38" s="294"/>
      <c r="BS38" s="60" t="s">
        <v>34</v>
      </c>
      <c r="BT38" s="48">
        <f>COUNTIFS(JOURNAL!F:F,"4",JOURNAL!K:K,"Probably Setup",JOURNAL!O:O,"OT -")</f>
        <v>0</v>
      </c>
    </row>
    <row r="39" spans="3:72" ht="15.75" x14ac:dyDescent="0.25">
      <c r="AP39" s="299"/>
      <c r="AQ39" s="291"/>
      <c r="AR39" s="146" t="s">
        <v>115</v>
      </c>
      <c r="AS39" s="48">
        <f>SUM(AS32:AS38)</f>
        <v>0</v>
      </c>
      <c r="AT39" s="291"/>
      <c r="AU39" s="146" t="s">
        <v>115</v>
      </c>
      <c r="AV39" s="48">
        <f>SUM(AV32:AV38)</f>
        <v>0</v>
      </c>
      <c r="AW39" s="291"/>
      <c r="AX39" s="146" t="s">
        <v>115</v>
      </c>
      <c r="AY39" s="48">
        <f>SUM(AY32:AY38)</f>
        <v>0</v>
      </c>
      <c r="AZ39" s="291"/>
      <c r="BA39" s="146" t="s">
        <v>115</v>
      </c>
      <c r="BB39" s="48">
        <f>SUM(BB32:BB38)</f>
        <v>0</v>
      </c>
      <c r="BC39" s="291"/>
      <c r="BD39" s="146" t="s">
        <v>115</v>
      </c>
      <c r="BE39" s="48">
        <f>SUM(BE32:BE38)</f>
        <v>0</v>
      </c>
      <c r="BF39" s="291"/>
      <c r="BG39" s="146" t="s">
        <v>115</v>
      </c>
      <c r="BH39" s="48">
        <f>SUM(BH32:BH38)</f>
        <v>0</v>
      </c>
      <c r="BI39" s="291"/>
      <c r="BJ39" s="146" t="s">
        <v>115</v>
      </c>
      <c r="BK39" s="48">
        <f>SUM(BK32:BK38)</f>
        <v>0</v>
      </c>
      <c r="BL39" s="291"/>
      <c r="BM39" s="146" t="s">
        <v>115</v>
      </c>
      <c r="BN39" s="48">
        <f>SUM(BN32:BN38)</f>
        <v>0</v>
      </c>
      <c r="BO39" s="291"/>
      <c r="BP39" s="146" t="s">
        <v>115</v>
      </c>
      <c r="BQ39" s="48">
        <f>SUM(BQ32:BQ38)</f>
        <v>0</v>
      </c>
      <c r="BR39" s="294"/>
      <c r="BS39" s="146" t="s">
        <v>115</v>
      </c>
      <c r="BT39" s="48">
        <f>SUM(BT32:BT38)</f>
        <v>0</v>
      </c>
    </row>
    <row r="40" spans="3:72" ht="15.75" x14ac:dyDescent="0.25">
      <c r="AP40" s="299"/>
      <c r="AQ40" s="292"/>
      <c r="AR40" s="191" t="s">
        <v>44</v>
      </c>
      <c r="AS40" s="48" t="e">
        <f>SUM(AS32,AS34,AS35,AS37)/AS39</f>
        <v>#DIV/0!</v>
      </c>
      <c r="AT40" s="292"/>
      <c r="AU40" s="191" t="s">
        <v>44</v>
      </c>
      <c r="AV40" s="48" t="e">
        <f>SUM(AV32,AV34,AV35,AV37)/AV39</f>
        <v>#DIV/0!</v>
      </c>
      <c r="AW40" s="292"/>
      <c r="AX40" s="191" t="s">
        <v>44</v>
      </c>
      <c r="AY40" s="48" t="e">
        <f>SUM(AY32,AY34,AY35,AY37)/AY39</f>
        <v>#DIV/0!</v>
      </c>
      <c r="AZ40" s="292"/>
      <c r="BA40" s="191" t="s">
        <v>44</v>
      </c>
      <c r="BB40" s="48" t="e">
        <f>SUM(BB32,BB34,BB35,BB37)/BB39</f>
        <v>#DIV/0!</v>
      </c>
      <c r="BC40" s="292"/>
      <c r="BD40" s="191" t="s">
        <v>44</v>
      </c>
      <c r="BE40" s="48" t="e">
        <f>SUM(BE32,BE34,BE35,BE37)/BE39</f>
        <v>#DIV/0!</v>
      </c>
      <c r="BF40" s="292"/>
      <c r="BG40" s="191" t="s">
        <v>44</v>
      </c>
      <c r="BH40" s="48" t="e">
        <f>SUM(BH32,BH34,BH35,BH37)/BH39</f>
        <v>#DIV/0!</v>
      </c>
      <c r="BI40" s="292"/>
      <c r="BJ40" s="191" t="s">
        <v>44</v>
      </c>
      <c r="BK40" s="48" t="e">
        <f>SUM(BK32,BK34,BK35,BK37)/BK39</f>
        <v>#DIV/0!</v>
      </c>
      <c r="BL40" s="292"/>
      <c r="BM40" s="191" t="s">
        <v>44</v>
      </c>
      <c r="BN40" s="48" t="e">
        <f>SUM(BN32,BN34,BN35,BN37)/BN39</f>
        <v>#DIV/0!</v>
      </c>
      <c r="BO40" s="292"/>
      <c r="BP40" s="191" t="s">
        <v>44</v>
      </c>
      <c r="BQ40" s="48" t="e">
        <f>SUM(BQ32,BQ34,BQ35,BQ37)/BQ39</f>
        <v>#DIV/0!</v>
      </c>
      <c r="BR40" s="295"/>
      <c r="BS40" s="191" t="s">
        <v>44</v>
      </c>
      <c r="BT40" s="48" t="e">
        <f>SUM(BT32,BT34,BT35,BT37)/BT39</f>
        <v>#DIV/0!</v>
      </c>
    </row>
    <row r="42" spans="3:72" ht="18" customHeight="1" x14ac:dyDescent="0.25">
      <c r="AP42" s="299" t="s">
        <v>72</v>
      </c>
      <c r="AQ42" s="290" t="s">
        <v>161</v>
      </c>
      <c r="AR42" s="54" t="s">
        <v>27</v>
      </c>
      <c r="AS42" s="48">
        <f>COUNTIFS(JOURNAL!F:F,"5",JOURNAL!K:K,"2",JOURNAL!O:O,"TP")</f>
        <v>0</v>
      </c>
      <c r="AT42" s="290" t="s">
        <v>162</v>
      </c>
      <c r="AU42" s="54" t="s">
        <v>27</v>
      </c>
      <c r="AV42" s="48">
        <f>COUNTIFS(JOURNAL!F:F,"5",JOURNAL!K:K,"3",JOURNAL!O:O,"TP")</f>
        <v>0</v>
      </c>
      <c r="AW42" s="290" t="s">
        <v>163</v>
      </c>
      <c r="AX42" s="54" t="s">
        <v>27</v>
      </c>
      <c r="AY42" s="48">
        <f>COUNTIFS(JOURNAL!F:F,"5",JOURNAL!K:K,"4",JOURNAL!O:O,"TP")</f>
        <v>0</v>
      </c>
      <c r="AZ42" s="290" t="s">
        <v>164</v>
      </c>
      <c r="BA42" s="54" t="s">
        <v>27</v>
      </c>
      <c r="BB42" s="48">
        <f>COUNTIFS(JOURNAL!F:F,"5",JOURNAL!K:K,"30",JOURNAL!O:O,"TP")</f>
        <v>0</v>
      </c>
      <c r="BC42" s="290" t="s">
        <v>165</v>
      </c>
      <c r="BD42" s="54" t="s">
        <v>27</v>
      </c>
      <c r="BE42" s="48">
        <f>COUNTIFS(JOURNAL!F:F,"5",JOURNAL!K:K,"50",JOURNAL!O:O,"TP")</f>
        <v>0</v>
      </c>
      <c r="BF42" s="290" t="s">
        <v>156</v>
      </c>
      <c r="BG42" s="54" t="s">
        <v>27</v>
      </c>
      <c r="BH42" s="48">
        <f>COUNTIFS(JOURNAL!F:F,"5",JOURNAL!K:K,"COMPLEX H",JOURNAL!O:O,"TP")</f>
        <v>0</v>
      </c>
      <c r="BI42" s="290" t="s">
        <v>66</v>
      </c>
      <c r="BJ42" s="54" t="s">
        <v>27</v>
      </c>
      <c r="BK42" s="48">
        <f>COUNTIFS(JOURNAL!F:F,"5",JOURNAL!K:K,"COMPLEX D",JOURNAL!O:O,"TP")</f>
        <v>0</v>
      </c>
      <c r="BL42" s="290" t="s">
        <v>152</v>
      </c>
      <c r="BM42" s="54" t="s">
        <v>27</v>
      </c>
      <c r="BN42" s="48">
        <f>COUNTIFS(JOURNAL!F:F,"5",JOURNAL!K:K,"Multi",JOURNAL!O:O,"TP")</f>
        <v>0</v>
      </c>
      <c r="BO42" s="290" t="s">
        <v>171</v>
      </c>
      <c r="BP42" s="54" t="s">
        <v>27</v>
      </c>
      <c r="BQ42" s="48">
        <f>COUNTIFS(JOURNAL!F:F,"5",JOURNAL!K:K,"None",JOURNAL!O:O,"TP")</f>
        <v>0</v>
      </c>
      <c r="BR42" s="293" t="s">
        <v>172</v>
      </c>
      <c r="BS42" s="54" t="s">
        <v>27</v>
      </c>
      <c r="BT42" s="48">
        <f>COUNTIFS(JOURNAL!F:F,"5",JOURNAL!K:K,"Probably Setup",JOURNAL!O:O,"TP")</f>
        <v>0</v>
      </c>
    </row>
    <row r="43" spans="3:72" ht="20.25" customHeight="1" x14ac:dyDescent="0.25">
      <c r="AP43" s="299"/>
      <c r="AQ43" s="291"/>
      <c r="AR43" s="55" t="s">
        <v>29</v>
      </c>
      <c r="AS43" s="48">
        <f>COUNTIFS(JOURNAL!F:F,"5",JOURNAL!K:K,"2",JOURNAL!O:O,"SL")</f>
        <v>0</v>
      </c>
      <c r="AT43" s="291"/>
      <c r="AU43" s="55" t="s">
        <v>29</v>
      </c>
      <c r="AV43" s="48">
        <f>COUNTIFS(JOURNAL!F:F,"5",JOURNAL!K:K,"3",JOURNAL!O:O,"SL")</f>
        <v>0</v>
      </c>
      <c r="AW43" s="291"/>
      <c r="AX43" s="55" t="s">
        <v>29</v>
      </c>
      <c r="AY43" s="48">
        <f>COUNTIFS(JOURNAL!F:F,"5",JOURNAL!K:K,"4",JOURNAL!O:O,"SL")</f>
        <v>0</v>
      </c>
      <c r="AZ43" s="291"/>
      <c r="BA43" s="55" t="s">
        <v>29</v>
      </c>
      <c r="BB43" s="48">
        <f>COUNTIFS(JOURNAL!F:F,"5",JOURNAL!K:K,"30",JOURNAL!O:O,"SL")</f>
        <v>0</v>
      </c>
      <c r="BC43" s="291"/>
      <c r="BD43" s="55" t="s">
        <v>29</v>
      </c>
      <c r="BE43" s="48">
        <f>COUNTIFS(JOURNAL!F:F,"5",JOURNAL!K:K,"50",JOURNAL!O:O,"SL")</f>
        <v>0</v>
      </c>
      <c r="BF43" s="291"/>
      <c r="BG43" s="55" t="s">
        <v>29</v>
      </c>
      <c r="BH43" s="48">
        <f>COUNTIFS(JOURNAL!F:F,"5",JOURNAL!K:K,"COMPLEX H",JOURNAL!O:O,"SL")</f>
        <v>0</v>
      </c>
      <c r="BI43" s="291"/>
      <c r="BJ43" s="55" t="s">
        <v>29</v>
      </c>
      <c r="BK43" s="48">
        <f>COUNTIFS(JOURNAL!F:F,"5",JOURNAL!K:K,"COMPLEX D",JOURNAL!O:O,"SL")</f>
        <v>0</v>
      </c>
      <c r="BL43" s="291"/>
      <c r="BM43" s="55" t="s">
        <v>29</v>
      </c>
      <c r="BN43" s="48">
        <f>COUNTIFS(JOURNAL!F:F,"5",JOURNAL!K:K,"Multi",JOURNAL!O:O,"SL")</f>
        <v>0</v>
      </c>
      <c r="BO43" s="291"/>
      <c r="BP43" s="55" t="s">
        <v>29</v>
      </c>
      <c r="BQ43" s="48">
        <f>COUNTIFS(JOURNAL!F:F,"5",JOURNAL!K:K,"None",JOURNAL!O:O,"SL")</f>
        <v>0</v>
      </c>
      <c r="BR43" s="294"/>
      <c r="BS43" s="55" t="s">
        <v>29</v>
      </c>
      <c r="BT43" s="48">
        <f>COUNTIFS(JOURNAL!F:F,"5",JOURNAL!K:K,"Probably Setup",JOURNAL!O:O,"SL")</f>
        <v>0</v>
      </c>
    </row>
    <row r="44" spans="3:72" ht="15.75" x14ac:dyDescent="0.25">
      <c r="AP44" s="299"/>
      <c r="AQ44" s="291"/>
      <c r="AR44" s="56" t="s">
        <v>32</v>
      </c>
      <c r="AS44" s="48">
        <f>COUNTIFS(JOURNAL!F:F,"5",JOURNAL!K:K,"2",JOURNAL!O:O,"RF")</f>
        <v>0</v>
      </c>
      <c r="AT44" s="291"/>
      <c r="AU44" s="56" t="s">
        <v>32</v>
      </c>
      <c r="AV44" s="48">
        <f>COUNTIFS(JOURNAL!F:F,"5",JOURNAL!K:K,"3",JOURNAL!O:O,"RF")</f>
        <v>0</v>
      </c>
      <c r="AW44" s="291"/>
      <c r="AX44" s="56" t="s">
        <v>32</v>
      </c>
      <c r="AY44" s="48">
        <f>COUNTIFS(JOURNAL!F:F,"5",JOURNAL!K:K,"4",JOURNAL!O:O,"RF")</f>
        <v>0</v>
      </c>
      <c r="AZ44" s="291"/>
      <c r="BA44" s="56" t="s">
        <v>32</v>
      </c>
      <c r="BB44" s="48">
        <f>COUNTIFS(JOURNAL!F:F,"5",JOURNAL!K:K,"30",JOURNAL!O:O,"RF")</f>
        <v>0</v>
      </c>
      <c r="BC44" s="291"/>
      <c r="BD44" s="56" t="s">
        <v>32</v>
      </c>
      <c r="BE44" s="48">
        <f>COUNTIFS(JOURNAL!F:F,"5",JOURNAL!K:K,"50",JOURNAL!O:O,"RF")</f>
        <v>0</v>
      </c>
      <c r="BF44" s="291"/>
      <c r="BG44" s="56" t="s">
        <v>32</v>
      </c>
      <c r="BH44" s="48">
        <f>COUNTIFS(JOURNAL!F:F,"5",JOURNAL!K:K,"COMPLEX H",JOURNAL!O:O,"RF")</f>
        <v>0</v>
      </c>
      <c r="BI44" s="291"/>
      <c r="BJ44" s="56" t="s">
        <v>32</v>
      </c>
      <c r="BK44" s="48">
        <f>COUNTIFS(JOURNAL!F:F,"5",JOURNAL!K:K,"COMPLEX D",JOURNAL!O:O,"RF")</f>
        <v>0</v>
      </c>
      <c r="BL44" s="291"/>
      <c r="BM44" s="56" t="s">
        <v>32</v>
      </c>
      <c r="BN44" s="48">
        <f>COUNTIFS(JOURNAL!F:F,"5",JOURNAL!K:K,"Multi",JOURNAL!O:O,"RF")</f>
        <v>0</v>
      </c>
      <c r="BO44" s="291"/>
      <c r="BP44" s="56" t="s">
        <v>32</v>
      </c>
      <c r="BQ44" s="48">
        <f>COUNTIFS(JOURNAL!F:F,"5",JOURNAL!K:K,"None",JOURNAL!O:O,"RF")</f>
        <v>0</v>
      </c>
      <c r="BR44" s="294"/>
      <c r="BS44" s="56" t="s">
        <v>32</v>
      </c>
      <c r="BT44" s="48">
        <f>COUNTIFS(JOURNAL!F:F,"5",JOURNAL!K:K,"Probably Setup",JOURNAL!O:O,"RF")</f>
        <v>0</v>
      </c>
    </row>
    <row r="45" spans="3:72" ht="15.75" x14ac:dyDescent="0.25">
      <c r="AP45" s="299"/>
      <c r="AQ45" s="291"/>
      <c r="AR45" s="57" t="s">
        <v>30</v>
      </c>
      <c r="AS45" s="48">
        <f>COUNTIFS(JOURNAL!F:F,"5",JOURNAL!K:K,"2",JOURNAL!O:O,"PS")</f>
        <v>0</v>
      </c>
      <c r="AT45" s="291"/>
      <c r="AU45" s="57" t="s">
        <v>30</v>
      </c>
      <c r="AV45" s="48">
        <f>COUNTIFS(JOURNAL!F:F,"5",JOURNAL!K:K,"3",JOURNAL!O:O,"PS")</f>
        <v>0</v>
      </c>
      <c r="AW45" s="291"/>
      <c r="AX45" s="57" t="s">
        <v>30</v>
      </c>
      <c r="AY45" s="48">
        <f>COUNTIFS(JOURNAL!F:F,"5",JOURNAL!K:K,"4",JOURNAL!O:O,"PS")</f>
        <v>0</v>
      </c>
      <c r="AZ45" s="291"/>
      <c r="BA45" s="57" t="s">
        <v>30</v>
      </c>
      <c r="BB45" s="48">
        <f>COUNTIFS(JOURNAL!F:F,"5",JOURNAL!K:K,"30",JOURNAL!O:O,"PS")</f>
        <v>0</v>
      </c>
      <c r="BC45" s="291"/>
      <c r="BD45" s="57" t="s">
        <v>30</v>
      </c>
      <c r="BE45" s="48">
        <f>COUNTIFS(JOURNAL!F:F,"5",JOURNAL!K:K,"50",JOURNAL!O:O,"PS")</f>
        <v>0</v>
      </c>
      <c r="BF45" s="291"/>
      <c r="BG45" s="57" t="s">
        <v>30</v>
      </c>
      <c r="BH45" s="48">
        <f>COUNTIFS(JOURNAL!F:F,"5",JOURNAL!K:K,"COMPLEX H",JOURNAL!O:O,"PS")</f>
        <v>0</v>
      </c>
      <c r="BI45" s="291"/>
      <c r="BJ45" s="57" t="s">
        <v>30</v>
      </c>
      <c r="BK45" s="48">
        <f>COUNTIFS(JOURNAL!F:F,"5",JOURNAL!K:K,"COMPLEX D",JOURNAL!O:O,"PS")</f>
        <v>0</v>
      </c>
      <c r="BL45" s="291"/>
      <c r="BM45" s="57" t="s">
        <v>30</v>
      </c>
      <c r="BN45" s="48">
        <f>COUNTIFS(JOURNAL!F:F,"5",JOURNAL!K:K,"Multi",JOURNAL!O:O,"PS")</f>
        <v>0</v>
      </c>
      <c r="BO45" s="291"/>
      <c r="BP45" s="57" t="s">
        <v>30</v>
      </c>
      <c r="BQ45" s="48">
        <f>COUNTIFS(JOURNAL!F:F,"5",JOURNAL!K:K,"None",JOURNAL!O:O,"PS")</f>
        <v>0</v>
      </c>
      <c r="BR45" s="294"/>
      <c r="BS45" s="57" t="s">
        <v>30</v>
      </c>
      <c r="BT45" s="48">
        <f>COUNTIFS(JOURNAL!F:F,"5",JOURNAL!K:K,"Probably Setup",JOURNAL!O:O,"PS")</f>
        <v>0</v>
      </c>
    </row>
    <row r="46" spans="3:72" ht="15.75" x14ac:dyDescent="0.25">
      <c r="AP46" s="299"/>
      <c r="AQ46" s="291"/>
      <c r="AR46" s="58" t="s">
        <v>31</v>
      </c>
      <c r="AS46" s="48">
        <f>COUNTIFS(JOURNAL!F:F,"5",JOURNAL!K:K,"2",JOURNAL!O:O,"LS")</f>
        <v>0</v>
      </c>
      <c r="AT46" s="291"/>
      <c r="AU46" s="58" t="s">
        <v>31</v>
      </c>
      <c r="AV46" s="48">
        <f>COUNTIFS(JOURNAL!F:F,"5",JOURNAL!K:K,"3",JOURNAL!O:O,"LS")</f>
        <v>0</v>
      </c>
      <c r="AW46" s="291"/>
      <c r="AX46" s="58" t="s">
        <v>31</v>
      </c>
      <c r="AY46" s="48">
        <f>COUNTIFS(JOURNAL!F:F,"5",JOURNAL!K:K,"4",JOURNAL!O:O,"LS")</f>
        <v>0</v>
      </c>
      <c r="AZ46" s="291"/>
      <c r="BA46" s="58" t="s">
        <v>31</v>
      </c>
      <c r="BB46" s="48">
        <f>COUNTIFS(JOURNAL!F:F,"5",JOURNAL!K:K,"30",JOURNAL!O:O,"LS")</f>
        <v>0</v>
      </c>
      <c r="BC46" s="291"/>
      <c r="BD46" s="58" t="s">
        <v>31</v>
      </c>
      <c r="BE46" s="48">
        <f>COUNTIFS(JOURNAL!F:F,"5",JOURNAL!K:K,"50",JOURNAL!O:O,"LS")</f>
        <v>0</v>
      </c>
      <c r="BF46" s="291"/>
      <c r="BG46" s="58" t="s">
        <v>31</v>
      </c>
      <c r="BH46" s="48">
        <f>COUNTIFS(JOURNAL!F:F,"5",JOURNAL!K:K,"COMPLEX H",JOURNAL!O:O,"LS")</f>
        <v>0</v>
      </c>
      <c r="BI46" s="291"/>
      <c r="BJ46" s="58" t="s">
        <v>31</v>
      </c>
      <c r="BK46" s="48">
        <f>COUNTIFS(JOURNAL!F:F,"5",JOURNAL!K:K,"COMPLEX D",JOURNAL!O:O,"LS")</f>
        <v>0</v>
      </c>
      <c r="BL46" s="291"/>
      <c r="BM46" s="58" t="s">
        <v>31</v>
      </c>
      <c r="BN46" s="48">
        <f>COUNTIFS(JOURNAL!F:F,"5",JOURNAL!K:K,"Multi",JOURNAL!O:O,"LS")</f>
        <v>0</v>
      </c>
      <c r="BO46" s="291"/>
      <c r="BP46" s="58" t="s">
        <v>31</v>
      </c>
      <c r="BQ46" s="48">
        <f>COUNTIFS(JOURNAL!F:F,"5",JOURNAL!K:K,"None",JOURNAL!O:O,"LS")</f>
        <v>0</v>
      </c>
      <c r="BR46" s="294"/>
      <c r="BS46" s="58" t="s">
        <v>31</v>
      </c>
      <c r="BT46" s="48">
        <f>COUNTIFS(JOURNAL!F:F,"5",JOURNAL!K:K,"Probably Setup",JOURNAL!O:O,"LS")</f>
        <v>0</v>
      </c>
    </row>
    <row r="47" spans="3:72" ht="15.75" x14ac:dyDescent="0.25">
      <c r="AP47" s="299"/>
      <c r="AQ47" s="291"/>
      <c r="AR47" s="59" t="s">
        <v>33</v>
      </c>
      <c r="AS47" s="48">
        <f>COUNTIFS(JOURNAL!F:F,"5",JOURNAL!K:K,"2",JOURNAL!O:O,"OT +")</f>
        <v>0</v>
      </c>
      <c r="AT47" s="291"/>
      <c r="AU47" s="59" t="s">
        <v>33</v>
      </c>
      <c r="AV47" s="48">
        <f>COUNTIFS(JOURNAL!F:F,"5",JOURNAL!K:K,"3",JOURNAL!O:O,"OT +")</f>
        <v>0</v>
      </c>
      <c r="AW47" s="291"/>
      <c r="AX47" s="59" t="s">
        <v>33</v>
      </c>
      <c r="AY47" s="48">
        <f>COUNTIFS(JOURNAL!F:F,"5",JOURNAL!K:K,"4",JOURNAL!O:O,"OT +")</f>
        <v>0</v>
      </c>
      <c r="AZ47" s="291"/>
      <c r="BA47" s="59" t="s">
        <v>33</v>
      </c>
      <c r="BB47" s="48">
        <f>COUNTIFS(JOURNAL!F:F,"5",JOURNAL!K:K,"30",JOURNAL!O:O,"OT +")</f>
        <v>0</v>
      </c>
      <c r="BC47" s="291"/>
      <c r="BD47" s="59" t="s">
        <v>33</v>
      </c>
      <c r="BE47" s="48">
        <f>COUNTIFS(JOURNAL!F:F,"5",JOURNAL!K:K,"50",JOURNAL!O:O,"OT +")</f>
        <v>0</v>
      </c>
      <c r="BF47" s="291"/>
      <c r="BG47" s="59" t="s">
        <v>33</v>
      </c>
      <c r="BH47" s="48">
        <f>COUNTIFS(JOURNAL!F:F,"5",JOURNAL!K:K,"COMPLEX H",JOURNAL!O:O,"OT +")</f>
        <v>0</v>
      </c>
      <c r="BI47" s="291"/>
      <c r="BJ47" s="59" t="s">
        <v>33</v>
      </c>
      <c r="BK47" s="48">
        <f>COUNTIFS(JOURNAL!F:F,"5",JOURNAL!K:K,"COMPLEX D",JOURNAL!O:O,"OT +")</f>
        <v>0</v>
      </c>
      <c r="BL47" s="291"/>
      <c r="BM47" s="59" t="s">
        <v>33</v>
      </c>
      <c r="BN47" s="48">
        <f>COUNTIFS(JOURNAL!F:F,"5",JOURNAL!K:K,"Multi",JOURNAL!O:O,"OT +")</f>
        <v>0</v>
      </c>
      <c r="BO47" s="291"/>
      <c r="BP47" s="59" t="s">
        <v>33</v>
      </c>
      <c r="BQ47" s="48">
        <f>COUNTIFS(JOURNAL!F:F,"5",JOURNAL!K:K,"None",JOURNAL!O:O,"OT +")</f>
        <v>0</v>
      </c>
      <c r="BR47" s="294"/>
      <c r="BS47" s="59" t="s">
        <v>33</v>
      </c>
      <c r="BT47" s="48">
        <f>COUNTIFS(JOURNAL!F:F,"5",JOURNAL!K:K,"Probably Setup",JOURNAL!O:O,"OT +")</f>
        <v>0</v>
      </c>
    </row>
    <row r="48" spans="3:72" ht="23.25" customHeight="1" x14ac:dyDescent="0.25">
      <c r="C48" s="267" t="s">
        <v>171</v>
      </c>
      <c r="D48" s="268"/>
      <c r="E48" s="268"/>
      <c r="F48" s="268"/>
      <c r="G48" s="269"/>
      <c r="I48" s="267" t="s">
        <v>172</v>
      </c>
      <c r="J48" s="268"/>
      <c r="K48" s="268"/>
      <c r="L48" s="268"/>
      <c r="M48" s="269"/>
      <c r="AP48" s="299"/>
      <c r="AQ48" s="291"/>
      <c r="AR48" s="60" t="s">
        <v>34</v>
      </c>
      <c r="AS48" s="48">
        <f>COUNTIFS(JOURNAL!F:F,"5",JOURNAL!K:K,"2",JOURNAL!O:O,"OT -")</f>
        <v>0</v>
      </c>
      <c r="AT48" s="291"/>
      <c r="AU48" s="60" t="s">
        <v>34</v>
      </c>
      <c r="AV48" s="48">
        <f>COUNTIFS(JOURNAL!F:F,"5",JOURNAL!K:K,"3",JOURNAL!O:O,"OT -")</f>
        <v>0</v>
      </c>
      <c r="AW48" s="291"/>
      <c r="AX48" s="60" t="s">
        <v>34</v>
      </c>
      <c r="AY48" s="48">
        <f>COUNTIFS(JOURNAL!F:F,"5",JOURNAL!K:K,"4",JOURNAL!O:O,"OT -")</f>
        <v>0</v>
      </c>
      <c r="AZ48" s="291"/>
      <c r="BA48" s="60" t="s">
        <v>34</v>
      </c>
      <c r="BB48" s="48">
        <f>COUNTIFS(JOURNAL!F:F,"5",JOURNAL!K:K,"30",JOURNAL!O:O,"OT -")</f>
        <v>0</v>
      </c>
      <c r="BC48" s="291"/>
      <c r="BD48" s="60" t="s">
        <v>34</v>
      </c>
      <c r="BE48" s="48">
        <f>COUNTIFS(JOURNAL!F:F,"5",JOURNAL!K:K,"50",JOURNAL!O:O,"OT -")</f>
        <v>0</v>
      </c>
      <c r="BF48" s="291"/>
      <c r="BG48" s="60" t="s">
        <v>34</v>
      </c>
      <c r="BH48" s="48">
        <f>COUNTIFS(JOURNAL!F:F,"5",JOURNAL!K:K,"COMPLEX H",JOURNAL!O:O,"OT -")</f>
        <v>0</v>
      </c>
      <c r="BI48" s="291"/>
      <c r="BJ48" s="60" t="s">
        <v>34</v>
      </c>
      <c r="BK48" s="48">
        <f>COUNTIFS(JOURNAL!F:F,"5",JOURNAL!K:K,"COMPLEX D",JOURNAL!O:O,"OT -")</f>
        <v>0</v>
      </c>
      <c r="BL48" s="291"/>
      <c r="BM48" s="60" t="s">
        <v>34</v>
      </c>
      <c r="BN48" s="48">
        <f>COUNTIFS(JOURNAL!F:F,"5",JOURNAL!K:K,"Multi",JOURNAL!O:O,"OT -")</f>
        <v>0</v>
      </c>
      <c r="BO48" s="291"/>
      <c r="BP48" s="60" t="s">
        <v>34</v>
      </c>
      <c r="BQ48" s="48">
        <f>COUNTIFS(JOURNAL!F:F,"5",JOURNAL!K:K,"None",JOURNAL!O:O,"OT -")</f>
        <v>0</v>
      </c>
      <c r="BR48" s="294"/>
      <c r="BS48" s="60" t="s">
        <v>34</v>
      </c>
      <c r="BT48" s="48">
        <f>COUNTIFS(JOURNAL!F:F,"5",JOURNAL!K:K,"Probably Setup",JOURNAL!O:O,"OT -")</f>
        <v>0</v>
      </c>
    </row>
    <row r="49" spans="3:72" ht="15.75" x14ac:dyDescent="0.25">
      <c r="C49" s="260" t="s">
        <v>43</v>
      </c>
      <c r="D49" s="262">
        <f>COUNTIF(JOURNAL!K:K,"None")</f>
        <v>0</v>
      </c>
      <c r="E49" s="263"/>
      <c r="F49" s="54" t="s">
        <v>27</v>
      </c>
      <c r="G49" s="48">
        <f>COUNTIFS(JOURNAL!K:K,"None",JOURNAL!O:O,"TP")</f>
        <v>0</v>
      </c>
      <c r="I49" s="260" t="s">
        <v>43</v>
      </c>
      <c r="J49" s="262">
        <f>COUNTIF(JOURNAL!K:K,"Probably Setup")</f>
        <v>0</v>
      </c>
      <c r="K49" s="263"/>
      <c r="L49" s="54" t="s">
        <v>27</v>
      </c>
      <c r="M49" s="48">
        <f>COUNTIFS(JOURNAL!K:K,"Probably Setup",JOURNAL!O:O,"TP")</f>
        <v>0</v>
      </c>
      <c r="AP49" s="299"/>
      <c r="AQ49" s="291"/>
      <c r="AR49" s="146" t="s">
        <v>115</v>
      </c>
      <c r="AS49" s="48">
        <f>SUM(AS42:AS48)</f>
        <v>0</v>
      </c>
      <c r="AT49" s="291"/>
      <c r="AU49" s="146" t="s">
        <v>115</v>
      </c>
      <c r="AV49" s="48">
        <f>SUM(AV42:AV48)</f>
        <v>0</v>
      </c>
      <c r="AW49" s="291"/>
      <c r="AX49" s="146" t="s">
        <v>115</v>
      </c>
      <c r="AY49" s="48">
        <f>SUM(AY42:AY48)</f>
        <v>0</v>
      </c>
      <c r="AZ49" s="291"/>
      <c r="BA49" s="146" t="s">
        <v>115</v>
      </c>
      <c r="BB49" s="48">
        <f>SUM(BB42:BB48)</f>
        <v>0</v>
      </c>
      <c r="BC49" s="291"/>
      <c r="BD49" s="146" t="s">
        <v>115</v>
      </c>
      <c r="BE49" s="48">
        <f>SUM(BE42:BE48)</f>
        <v>0</v>
      </c>
      <c r="BF49" s="291"/>
      <c r="BG49" s="146" t="s">
        <v>115</v>
      </c>
      <c r="BH49" s="48">
        <f>SUM(BH42:BH48)</f>
        <v>0</v>
      </c>
      <c r="BI49" s="291"/>
      <c r="BJ49" s="146" t="s">
        <v>115</v>
      </c>
      <c r="BK49" s="48">
        <f>SUM(BK42:BK48)</f>
        <v>0</v>
      </c>
      <c r="BL49" s="291"/>
      <c r="BM49" s="146" t="s">
        <v>115</v>
      </c>
      <c r="BN49" s="48">
        <f>SUM(BN42:BN48)</f>
        <v>0</v>
      </c>
      <c r="BO49" s="291"/>
      <c r="BP49" s="146" t="s">
        <v>115</v>
      </c>
      <c r="BQ49" s="48">
        <f>SUM(BQ42:BQ48)</f>
        <v>0</v>
      </c>
      <c r="BR49" s="294"/>
      <c r="BS49" s="146" t="s">
        <v>115</v>
      </c>
      <c r="BT49" s="48">
        <f>SUM(BT42:BT48)</f>
        <v>0</v>
      </c>
    </row>
    <row r="50" spans="3:72" ht="15.75" x14ac:dyDescent="0.25">
      <c r="C50" s="261"/>
      <c r="D50" s="264"/>
      <c r="E50" s="265"/>
      <c r="F50" s="55" t="s">
        <v>29</v>
      </c>
      <c r="G50" s="48">
        <f>COUNTIFS(JOURNAL!K:K,"None",JOURNAL!O:O,"SL")</f>
        <v>0</v>
      </c>
      <c r="I50" s="261"/>
      <c r="J50" s="264"/>
      <c r="K50" s="265"/>
      <c r="L50" s="55" t="s">
        <v>29</v>
      </c>
      <c r="M50" s="48">
        <f>COUNTIFS(JOURNAL!K:K,"Probably Setup",JOURNAL!O:O,"SL")</f>
        <v>0</v>
      </c>
      <c r="AP50" s="299"/>
      <c r="AQ50" s="292"/>
      <c r="AR50" s="191" t="s">
        <v>44</v>
      </c>
      <c r="AS50" s="48" t="e">
        <f>SUM(AS42,AS44,AS45,AS47)/AS49</f>
        <v>#DIV/0!</v>
      </c>
      <c r="AT50" s="292"/>
      <c r="AU50" s="191" t="s">
        <v>44</v>
      </c>
      <c r="AV50" s="48" t="e">
        <f>SUM(AV42,AV44,AV45,AV47)/AV49</f>
        <v>#DIV/0!</v>
      </c>
      <c r="AW50" s="292"/>
      <c r="AX50" s="191" t="s">
        <v>44</v>
      </c>
      <c r="AY50" s="48" t="e">
        <f>SUM(AY42,AY44,AY45,AY47)/AY49</f>
        <v>#DIV/0!</v>
      </c>
      <c r="AZ50" s="292"/>
      <c r="BA50" s="191" t="s">
        <v>44</v>
      </c>
      <c r="BB50" s="48" t="e">
        <f>SUM(BB42,BB44,BB45,BB47)/BB49</f>
        <v>#DIV/0!</v>
      </c>
      <c r="BC50" s="292"/>
      <c r="BD50" s="191" t="s">
        <v>44</v>
      </c>
      <c r="BE50" s="48" t="e">
        <f>SUM(BE42,BE44,BE45,BE47)/BE49</f>
        <v>#DIV/0!</v>
      </c>
      <c r="BF50" s="292"/>
      <c r="BG50" s="191" t="s">
        <v>44</v>
      </c>
      <c r="BH50" s="48" t="e">
        <f>SUM(BH42,BH44,BH45,BH47)/BH49</f>
        <v>#DIV/0!</v>
      </c>
      <c r="BI50" s="292"/>
      <c r="BJ50" s="191" t="s">
        <v>44</v>
      </c>
      <c r="BK50" s="48" t="e">
        <f>SUM(BK42,BK44,BK45,BK47)/BK49</f>
        <v>#DIV/0!</v>
      </c>
      <c r="BL50" s="292"/>
      <c r="BM50" s="191" t="s">
        <v>44</v>
      </c>
      <c r="BN50" s="48" t="e">
        <f>SUM(BN42,BN44,BN45,BN47)/BN49</f>
        <v>#DIV/0!</v>
      </c>
      <c r="BO50" s="292"/>
      <c r="BP50" s="191" t="s">
        <v>44</v>
      </c>
      <c r="BQ50" s="48" t="e">
        <f>SUM(BQ42,BQ44,BQ45,BQ47)/BQ49</f>
        <v>#DIV/0!</v>
      </c>
      <c r="BR50" s="295"/>
      <c r="BS50" s="191" t="s">
        <v>44</v>
      </c>
      <c r="BT50" s="48" t="e">
        <f>SUM(BT42,BT44,BT45,BT47)/BT49</f>
        <v>#DIV/0!</v>
      </c>
    </row>
    <row r="51" spans="3:72" ht="15.75" x14ac:dyDescent="0.25">
      <c r="C51" s="260" t="s">
        <v>45</v>
      </c>
      <c r="D51" s="111" t="s">
        <v>36</v>
      </c>
      <c r="E51" s="48">
        <f>COUNTIFS(JOURNAL!K:K,"None",JOURNAL!P:P,"SF")</f>
        <v>0</v>
      </c>
      <c r="F51" s="56" t="s">
        <v>32</v>
      </c>
      <c r="G51" s="48">
        <f>COUNTIFS(JOURNAL!K:K,"None",JOURNAL!O:O,"RF")</f>
        <v>0</v>
      </c>
      <c r="I51" s="260" t="s">
        <v>45</v>
      </c>
      <c r="J51" s="111" t="s">
        <v>36</v>
      </c>
      <c r="K51" s="48">
        <f>COUNTIFS(JOURNAL!K:K,"Probably Setup",JOURNAL!P:P,"SF")</f>
        <v>0</v>
      </c>
      <c r="L51" s="56" t="s">
        <v>32</v>
      </c>
      <c r="M51" s="48">
        <f>COUNTIFS(JOURNAL!K:K,"Probably Setup",JOURNAL!O:O,"RF")</f>
        <v>0</v>
      </c>
    </row>
    <row r="52" spans="3:72" ht="21.75" customHeight="1" x14ac:dyDescent="0.25">
      <c r="C52" s="266"/>
      <c r="D52" s="112" t="s">
        <v>28</v>
      </c>
      <c r="E52" s="48">
        <f>COUNTIFS(JOURNAL!K:K,"None",JOURNAL!P:P,"TC")</f>
        <v>0</v>
      </c>
      <c r="F52" s="57" t="s">
        <v>30</v>
      </c>
      <c r="G52" s="48">
        <f>COUNTIFS(JOURNAL!K:K,"None",JOURNAL!O:O,"PS")</f>
        <v>0</v>
      </c>
      <c r="I52" s="266"/>
      <c r="J52" s="112" t="s">
        <v>28</v>
      </c>
      <c r="K52" s="48">
        <f>COUNTIFS(JOURNAL!K:K,"Probably Setup",JOURNAL!P:P,"TC")</f>
        <v>0</v>
      </c>
      <c r="L52" s="57" t="s">
        <v>30</v>
      </c>
      <c r="M52" s="48">
        <f>COUNTIFS(JOURNAL!K:K,"Probably Setup",JOURNAL!O:O,"PS")</f>
        <v>0</v>
      </c>
      <c r="AP52" s="299" t="s">
        <v>73</v>
      </c>
      <c r="AQ52" s="290" t="s">
        <v>161</v>
      </c>
      <c r="AR52" s="54" t="s">
        <v>27</v>
      </c>
      <c r="AS52" s="48">
        <f>COUNTIFS(JOURNAL!F:F,"6",JOURNAL!K:K,"2",JOURNAL!O:O,"TP")</f>
        <v>0</v>
      </c>
      <c r="AT52" s="290" t="s">
        <v>162</v>
      </c>
      <c r="AU52" s="54" t="s">
        <v>27</v>
      </c>
      <c r="AV52" s="48">
        <f>COUNTIFS(JOURNAL!F:F,"6",JOURNAL!K:K,"3",JOURNAL!O:O,"TP")</f>
        <v>0</v>
      </c>
      <c r="AW52" s="290" t="s">
        <v>163</v>
      </c>
      <c r="AX52" s="54" t="s">
        <v>27</v>
      </c>
      <c r="AY52" s="48">
        <f>COUNTIFS(JOURNAL!F:F,"6",JOURNAL!K:K,"4",JOURNAL!O:O,"TP")</f>
        <v>0</v>
      </c>
      <c r="AZ52" s="290" t="s">
        <v>164</v>
      </c>
      <c r="BA52" s="54" t="s">
        <v>27</v>
      </c>
      <c r="BB52" s="48">
        <f>COUNTIFS(JOURNAL!F:F,"6",JOURNAL!K:K,"30",JOURNAL!O:O,"TP")</f>
        <v>0</v>
      </c>
      <c r="BC52" s="290" t="s">
        <v>165</v>
      </c>
      <c r="BD52" s="54" t="s">
        <v>27</v>
      </c>
      <c r="BE52" s="48">
        <f>COUNTIFS(JOURNAL!F:F,"6",JOURNAL!K:K,"50",JOURNAL!O:O,"TP")</f>
        <v>0</v>
      </c>
      <c r="BF52" s="290" t="s">
        <v>156</v>
      </c>
      <c r="BG52" s="54" t="s">
        <v>27</v>
      </c>
      <c r="BH52" s="48">
        <f>COUNTIFS(JOURNAL!F:F,"6",JOURNAL!K:K,"COMPLEX H",JOURNAL!O:O,"TP")</f>
        <v>0</v>
      </c>
      <c r="BI52" s="290" t="s">
        <v>66</v>
      </c>
      <c r="BJ52" s="54" t="s">
        <v>27</v>
      </c>
      <c r="BK52" s="48">
        <f>COUNTIFS(JOURNAL!F:F,"6",JOURNAL!K:K,"COMPLEX D",JOURNAL!O:O,"TP")</f>
        <v>0</v>
      </c>
      <c r="BL52" s="290" t="s">
        <v>152</v>
      </c>
      <c r="BM52" s="54" t="s">
        <v>27</v>
      </c>
      <c r="BN52" s="48">
        <f>COUNTIFS(JOURNAL!F:F,"6",JOURNAL!K:K,"Multi",JOURNAL!O:O,"TP")</f>
        <v>0</v>
      </c>
      <c r="BO52" s="290" t="s">
        <v>171</v>
      </c>
      <c r="BP52" s="54" t="s">
        <v>27</v>
      </c>
      <c r="BQ52" s="48">
        <f>COUNTIFS(JOURNAL!F:F,"6",JOURNAL!K:K,"None",JOURNAL!O:O,"TP")</f>
        <v>0</v>
      </c>
      <c r="BR52" s="293" t="s">
        <v>172</v>
      </c>
      <c r="BS52" s="54" t="s">
        <v>27</v>
      </c>
      <c r="BT52" s="48">
        <f>COUNTIFS(JOURNAL!F:F,"6",JOURNAL!K:K,"Probably Setup",JOURNAL!O:O,"TP")</f>
        <v>0</v>
      </c>
    </row>
    <row r="53" spans="3:72" ht="18" customHeight="1" x14ac:dyDescent="0.25">
      <c r="C53" s="266"/>
      <c r="D53" s="114" t="s">
        <v>37</v>
      </c>
      <c r="E53" s="48">
        <f>COUNTIFS(JOURNAL!K:K,"None",JOURNAL!P:P,"DC")</f>
        <v>0</v>
      </c>
      <c r="F53" s="58" t="s">
        <v>31</v>
      </c>
      <c r="G53" s="48">
        <f>COUNTIFS(JOURNAL!K:K,"None",JOURNAL!O:O,"LS")</f>
        <v>0</v>
      </c>
      <c r="I53" s="266"/>
      <c r="J53" s="114" t="s">
        <v>37</v>
      </c>
      <c r="K53" s="48">
        <f>COUNTIFS(JOURNAL!K:K,"Probably Setup",JOURNAL!P:P,"DC")</f>
        <v>0</v>
      </c>
      <c r="L53" s="58" t="s">
        <v>31</v>
      </c>
      <c r="M53" s="48">
        <f>COUNTIFS(JOURNAL!K:K,"Probably Setup",JOURNAL!O:O,"LS")</f>
        <v>0</v>
      </c>
      <c r="AP53" s="299"/>
      <c r="AQ53" s="291"/>
      <c r="AR53" s="55" t="s">
        <v>29</v>
      </c>
      <c r="AS53" s="48">
        <f>COUNTIFS(JOURNAL!F:F,"6",JOURNAL!K:K,"2",JOURNAL!O:O,"SL")</f>
        <v>0</v>
      </c>
      <c r="AT53" s="291"/>
      <c r="AU53" s="55" t="s">
        <v>29</v>
      </c>
      <c r="AV53" s="48">
        <f>COUNTIFS(JOURNAL!F:F,"6",JOURNAL!K:K,"3",JOURNAL!O:O,"SL")</f>
        <v>0</v>
      </c>
      <c r="AW53" s="291"/>
      <c r="AX53" s="55" t="s">
        <v>29</v>
      </c>
      <c r="AY53" s="48">
        <f>COUNTIFS(JOURNAL!F:F,"6",JOURNAL!K:K,"4",JOURNAL!O:O,"SL")</f>
        <v>0</v>
      </c>
      <c r="AZ53" s="291"/>
      <c r="BA53" s="55" t="s">
        <v>29</v>
      </c>
      <c r="BB53" s="48">
        <f>COUNTIFS(JOURNAL!F:F,"6",JOURNAL!K:K,"30",JOURNAL!O:O,"SL")</f>
        <v>0</v>
      </c>
      <c r="BC53" s="291"/>
      <c r="BD53" s="55" t="s">
        <v>29</v>
      </c>
      <c r="BE53" s="48">
        <f>COUNTIFS(JOURNAL!F:F,"6",JOURNAL!K:K,"50",JOURNAL!O:O,"SL")</f>
        <v>0</v>
      </c>
      <c r="BF53" s="291"/>
      <c r="BG53" s="55" t="s">
        <v>29</v>
      </c>
      <c r="BH53" s="48">
        <f>COUNTIFS(JOURNAL!F:F,"6",JOURNAL!K:K,"COMPLEX H",JOURNAL!O:O,"SL")</f>
        <v>0</v>
      </c>
      <c r="BI53" s="291"/>
      <c r="BJ53" s="55" t="s">
        <v>29</v>
      </c>
      <c r="BK53" s="48">
        <f>COUNTIFS(JOURNAL!F:F,"6",JOURNAL!K:K,"COMPLEX D",JOURNAL!O:O,"SL")</f>
        <v>0</v>
      </c>
      <c r="BL53" s="291"/>
      <c r="BM53" s="55" t="s">
        <v>29</v>
      </c>
      <c r="BN53" s="48">
        <f>COUNTIFS(JOURNAL!F:F,"6",JOURNAL!K:K,"Multi",JOURNAL!O:O,"SL")</f>
        <v>0</v>
      </c>
      <c r="BO53" s="291"/>
      <c r="BP53" s="55" t="s">
        <v>29</v>
      </c>
      <c r="BQ53" s="48">
        <f>COUNTIFS(JOURNAL!F:F,"6",JOURNAL!K:K,"None",JOURNAL!O:O,"SL")</f>
        <v>0</v>
      </c>
      <c r="BR53" s="294"/>
      <c r="BS53" s="55" t="s">
        <v>29</v>
      </c>
      <c r="BT53" s="48">
        <f>COUNTIFS(JOURNAL!F:F,"6",JOURNAL!K:K,"Probably Setup",JOURNAL!O:O,"SL")</f>
        <v>0</v>
      </c>
    </row>
    <row r="54" spans="3:72" ht="21" customHeight="1" x14ac:dyDescent="0.25">
      <c r="C54" s="266"/>
      <c r="D54" s="115" t="s">
        <v>39</v>
      </c>
      <c r="E54" s="48">
        <f>COUNTIFS(JOURNAL!K:K,"None",JOURNAL!P:P,"RNG")</f>
        <v>0</v>
      </c>
      <c r="F54" s="59" t="s">
        <v>33</v>
      </c>
      <c r="G54" s="48">
        <f>COUNTIFS(JOURNAL!K:K,"None",JOURNAL!O:O,"OT +")</f>
        <v>0</v>
      </c>
      <c r="I54" s="266"/>
      <c r="J54" s="115" t="s">
        <v>39</v>
      </c>
      <c r="K54" s="48">
        <f>COUNTIFS(JOURNAL!K:K,"Probably Setup",JOURNAL!P:P,"RNG")</f>
        <v>0</v>
      </c>
      <c r="L54" s="59" t="s">
        <v>33</v>
      </c>
      <c r="M54" s="48">
        <f>COUNTIFS(JOURNAL!K:K,"Probably Setup",JOURNAL!O:O,"OT +")</f>
        <v>0</v>
      </c>
      <c r="AP54" s="299"/>
      <c r="AQ54" s="291"/>
      <c r="AR54" s="56" t="s">
        <v>32</v>
      </c>
      <c r="AS54" s="48">
        <f>COUNTIFS(JOURNAL!F:F,"6",JOURNAL!K:K,"2",JOURNAL!O:O,"RF")</f>
        <v>0</v>
      </c>
      <c r="AT54" s="291"/>
      <c r="AU54" s="56" t="s">
        <v>32</v>
      </c>
      <c r="AV54" s="48">
        <f>COUNTIFS(JOURNAL!F:F,"6",JOURNAL!K:K,"3",JOURNAL!O:O,"RF")</f>
        <v>0</v>
      </c>
      <c r="AW54" s="291"/>
      <c r="AX54" s="56" t="s">
        <v>32</v>
      </c>
      <c r="AY54" s="48">
        <f>COUNTIFS(JOURNAL!F:F,"6",JOURNAL!K:K,"4",JOURNAL!O:O,"RF")</f>
        <v>0</v>
      </c>
      <c r="AZ54" s="291"/>
      <c r="BA54" s="56" t="s">
        <v>32</v>
      </c>
      <c r="BB54" s="48">
        <f>COUNTIFS(JOURNAL!F:F,"6",JOURNAL!K:K,"30",JOURNAL!O:O,"RF")</f>
        <v>0</v>
      </c>
      <c r="BC54" s="291"/>
      <c r="BD54" s="56" t="s">
        <v>32</v>
      </c>
      <c r="BE54" s="48">
        <f>COUNTIFS(JOURNAL!F:F,"6",JOURNAL!K:K,"50",JOURNAL!O:O,"RF")</f>
        <v>0</v>
      </c>
      <c r="BF54" s="291"/>
      <c r="BG54" s="56" t="s">
        <v>32</v>
      </c>
      <c r="BH54" s="48">
        <f>COUNTIFS(JOURNAL!F:F,"6",JOURNAL!K:K,"COMPLEX H",JOURNAL!O:O,"RF")</f>
        <v>0</v>
      </c>
      <c r="BI54" s="291"/>
      <c r="BJ54" s="56" t="s">
        <v>32</v>
      </c>
      <c r="BK54" s="48">
        <f>COUNTIFS(JOURNAL!F:F,"6",JOURNAL!K:K,"COMPLEX D",JOURNAL!O:O,"RF")</f>
        <v>0</v>
      </c>
      <c r="BL54" s="291"/>
      <c r="BM54" s="56" t="s">
        <v>32</v>
      </c>
      <c r="BN54" s="48">
        <f>COUNTIFS(JOURNAL!F:F,"6",JOURNAL!K:K,"Multi",JOURNAL!O:O,"RF")</f>
        <v>0</v>
      </c>
      <c r="BO54" s="291"/>
      <c r="BP54" s="56" t="s">
        <v>32</v>
      </c>
      <c r="BQ54" s="48">
        <f>COUNTIFS(JOURNAL!F:F,"6",JOURNAL!K:K,"None",JOURNAL!O:O,"RF")</f>
        <v>0</v>
      </c>
      <c r="BR54" s="294"/>
      <c r="BS54" s="56" t="s">
        <v>32</v>
      </c>
      <c r="BT54" s="48">
        <f>COUNTIFS(JOURNAL!F:F,"6",JOURNAL!K:K,"Probably Setup",JOURNAL!O:O,"RF")</f>
        <v>0</v>
      </c>
    </row>
    <row r="55" spans="3:72" ht="18" customHeight="1" x14ac:dyDescent="0.25">
      <c r="C55" s="266"/>
      <c r="D55" s="116" t="s">
        <v>38</v>
      </c>
      <c r="E55" s="48">
        <f>COUNTIFS(JOURNAL!K:K,"None",JOURNAL!P:P,"Keep Went")</f>
        <v>0</v>
      </c>
      <c r="F55" s="60" t="s">
        <v>34</v>
      </c>
      <c r="G55" s="48">
        <f>COUNTIFS(JOURNAL!K:K,"None",JOURNAL!O:O,"OT -")</f>
        <v>0</v>
      </c>
      <c r="I55" s="266"/>
      <c r="J55" s="116" t="s">
        <v>38</v>
      </c>
      <c r="K55" s="48">
        <f>COUNTIFS(JOURNAL!K:K,"Probably Setup",JOURNAL!P:P,"Keep Went")</f>
        <v>0</v>
      </c>
      <c r="L55" s="60" t="s">
        <v>34</v>
      </c>
      <c r="M55" s="48">
        <f>COUNTIFS(JOURNAL!K:K,"Probably Setup",JOURNAL!O:O,"OT -")</f>
        <v>0</v>
      </c>
      <c r="AP55" s="299"/>
      <c r="AQ55" s="291"/>
      <c r="AR55" s="57" t="s">
        <v>30</v>
      </c>
      <c r="AS55" s="48">
        <f>COUNTIFS(JOURNAL!F:F,"6",JOURNAL!K:K,"2",JOURNAL!O:O,"PS")</f>
        <v>0</v>
      </c>
      <c r="AT55" s="291"/>
      <c r="AU55" s="57" t="s">
        <v>30</v>
      </c>
      <c r="AV55" s="48">
        <f>COUNTIFS(JOURNAL!F:F,"6",JOURNAL!K:K,"3",JOURNAL!O:O,"PS")</f>
        <v>0</v>
      </c>
      <c r="AW55" s="291"/>
      <c r="AX55" s="57" t="s">
        <v>30</v>
      </c>
      <c r="AY55" s="48">
        <f>COUNTIFS(JOURNAL!F:F,"6",JOURNAL!K:K,"4",JOURNAL!O:O,"PS")</f>
        <v>0</v>
      </c>
      <c r="AZ55" s="291"/>
      <c r="BA55" s="57" t="s">
        <v>30</v>
      </c>
      <c r="BB55" s="48">
        <f>COUNTIFS(JOURNAL!F:F,"6",JOURNAL!K:K,"30",JOURNAL!O:O,"PS")</f>
        <v>0</v>
      </c>
      <c r="BC55" s="291"/>
      <c r="BD55" s="57" t="s">
        <v>30</v>
      </c>
      <c r="BE55" s="48">
        <f>COUNTIFS(JOURNAL!F:F,"6",JOURNAL!K:K,"50",JOURNAL!O:O,"PS")</f>
        <v>0</v>
      </c>
      <c r="BF55" s="291"/>
      <c r="BG55" s="57" t="s">
        <v>30</v>
      </c>
      <c r="BH55" s="48">
        <f>COUNTIFS(JOURNAL!F:F,"6",JOURNAL!K:K,"COMPLEX H",JOURNAL!O:O,"PS")</f>
        <v>0</v>
      </c>
      <c r="BI55" s="291"/>
      <c r="BJ55" s="57" t="s">
        <v>30</v>
      </c>
      <c r="BK55" s="48">
        <f>COUNTIFS(JOURNAL!F:F,"6",JOURNAL!K:K,"COMPLEX D",JOURNAL!O:O,"PS")</f>
        <v>0</v>
      </c>
      <c r="BL55" s="291"/>
      <c r="BM55" s="57" t="s">
        <v>30</v>
      </c>
      <c r="BN55" s="48">
        <f>COUNTIFS(JOURNAL!F:F,"6",JOURNAL!K:K,"Multi",JOURNAL!O:O,"PS")</f>
        <v>0</v>
      </c>
      <c r="BO55" s="291"/>
      <c r="BP55" s="57" t="s">
        <v>30</v>
      </c>
      <c r="BQ55" s="48">
        <f>COUNTIFS(JOURNAL!F:F,"6",JOURNAL!K:K,"None",JOURNAL!O:O,"PS")</f>
        <v>0</v>
      </c>
      <c r="BR55" s="294"/>
      <c r="BS55" s="57" t="s">
        <v>30</v>
      </c>
      <c r="BT55" s="48">
        <f>COUNTIFS(JOURNAL!F:F,"6",JOURNAL!K:K,"Probably Setup",JOURNAL!O:O,"PS")</f>
        <v>0</v>
      </c>
    </row>
    <row r="56" spans="3:72" ht="15.75" x14ac:dyDescent="0.25">
      <c r="C56" s="261"/>
      <c r="D56" s="118" t="s">
        <v>48</v>
      </c>
      <c r="E56" s="106">
        <f>SUMIF(JOURNAL!K:K,"None",JOURNAL!Q:Q)</f>
        <v>0</v>
      </c>
      <c r="F56" s="119" t="s">
        <v>44</v>
      </c>
      <c r="G56" s="184" t="e">
        <f>SUM(G49,G51,G52,G54)/D49</f>
        <v>#DIV/0!</v>
      </c>
      <c r="I56" s="261"/>
      <c r="J56" s="118" t="s">
        <v>48</v>
      </c>
      <c r="K56" s="106">
        <f>SUMIF(JOURNAL!K:K,"Probably Setup",JOURNAL!Q:Q)</f>
        <v>0</v>
      </c>
      <c r="L56" s="119" t="s">
        <v>44</v>
      </c>
      <c r="M56" s="184" t="e">
        <f>SUM(M49,M51,M52,M54)/J49</f>
        <v>#DIV/0!</v>
      </c>
      <c r="AP56" s="299"/>
      <c r="AQ56" s="291"/>
      <c r="AR56" s="58" t="s">
        <v>31</v>
      </c>
      <c r="AS56" s="48">
        <f>COUNTIFS(JOURNAL!F:F,"6",JOURNAL!K:K,"2",JOURNAL!O:O,"LS")</f>
        <v>0</v>
      </c>
      <c r="AT56" s="291"/>
      <c r="AU56" s="58" t="s">
        <v>31</v>
      </c>
      <c r="AV56" s="48">
        <f>COUNTIFS(JOURNAL!F:F,"6",JOURNAL!K:K,"3",JOURNAL!O:O,"LS")</f>
        <v>0</v>
      </c>
      <c r="AW56" s="291"/>
      <c r="AX56" s="58" t="s">
        <v>31</v>
      </c>
      <c r="AY56" s="48">
        <f>COUNTIFS(JOURNAL!F:F,"6",JOURNAL!K:K,"4",JOURNAL!O:O,"LS")</f>
        <v>0</v>
      </c>
      <c r="AZ56" s="291"/>
      <c r="BA56" s="58" t="s">
        <v>31</v>
      </c>
      <c r="BB56" s="48">
        <f>COUNTIFS(JOURNAL!F:F,"6",JOURNAL!K:K,"30",JOURNAL!O:O,"LS")</f>
        <v>0</v>
      </c>
      <c r="BC56" s="291"/>
      <c r="BD56" s="58" t="s">
        <v>31</v>
      </c>
      <c r="BE56" s="48">
        <f>COUNTIFS(JOURNAL!F:F,"6",JOURNAL!K:K,"50",JOURNAL!O:O,"LS")</f>
        <v>0</v>
      </c>
      <c r="BF56" s="291"/>
      <c r="BG56" s="58" t="s">
        <v>31</v>
      </c>
      <c r="BH56" s="48">
        <f>COUNTIFS(JOURNAL!F:F,"6",JOURNAL!K:K,"COMPLEX H",JOURNAL!O:O,"LS")</f>
        <v>0</v>
      </c>
      <c r="BI56" s="291"/>
      <c r="BJ56" s="58" t="s">
        <v>31</v>
      </c>
      <c r="BK56" s="48">
        <f>COUNTIFS(JOURNAL!F:F,"6",JOURNAL!K:K,"COMPLEX D",JOURNAL!O:O,"LS")</f>
        <v>0</v>
      </c>
      <c r="BL56" s="291"/>
      <c r="BM56" s="58" t="s">
        <v>31</v>
      </c>
      <c r="BN56" s="48">
        <f>COUNTIFS(JOURNAL!F:F,"6",JOURNAL!K:K,"Multi",JOURNAL!O:O,"LS")</f>
        <v>0</v>
      </c>
      <c r="BO56" s="291"/>
      <c r="BP56" s="58" t="s">
        <v>31</v>
      </c>
      <c r="BQ56" s="48">
        <f>COUNTIFS(JOURNAL!F:F,"6",JOURNAL!K:K,"None",JOURNAL!O:O,"LS")</f>
        <v>0</v>
      </c>
      <c r="BR56" s="294"/>
      <c r="BS56" s="58" t="s">
        <v>31</v>
      </c>
      <c r="BT56" s="48">
        <f>COUNTIFS(JOURNAL!F:F,"6",JOURNAL!K:K,"Probably Setup",JOURNAL!O:O,"LS")</f>
        <v>0</v>
      </c>
    </row>
    <row r="57" spans="3:72" ht="15.75" x14ac:dyDescent="0.25">
      <c r="AP57" s="299"/>
      <c r="AQ57" s="291"/>
      <c r="AR57" s="59" t="s">
        <v>33</v>
      </c>
      <c r="AS57" s="48">
        <f>COUNTIFS(JOURNAL!F:F,"6",JOURNAL!K:K,"2",JOURNAL!O:O,"OT +")</f>
        <v>0</v>
      </c>
      <c r="AT57" s="291"/>
      <c r="AU57" s="59" t="s">
        <v>33</v>
      </c>
      <c r="AV57" s="48">
        <f>COUNTIFS(JOURNAL!F:F,"6",JOURNAL!K:K,"3",JOURNAL!O:O,"OT +")</f>
        <v>0</v>
      </c>
      <c r="AW57" s="291"/>
      <c r="AX57" s="59" t="s">
        <v>33</v>
      </c>
      <c r="AY57" s="48">
        <f>COUNTIFS(JOURNAL!F:F,"6",JOURNAL!K:K,"4",JOURNAL!O:O,"OT +")</f>
        <v>0</v>
      </c>
      <c r="AZ57" s="291"/>
      <c r="BA57" s="59" t="s">
        <v>33</v>
      </c>
      <c r="BB57" s="48">
        <f>COUNTIFS(JOURNAL!F:F,"6",JOURNAL!K:K,"30",JOURNAL!O:O,"OT +")</f>
        <v>0</v>
      </c>
      <c r="BC57" s="291"/>
      <c r="BD57" s="59" t="s">
        <v>33</v>
      </c>
      <c r="BE57" s="48">
        <f>COUNTIFS(JOURNAL!F:F,"6",JOURNAL!K:K,"50",JOURNAL!O:O,"OT +")</f>
        <v>0</v>
      </c>
      <c r="BF57" s="291"/>
      <c r="BG57" s="59" t="s">
        <v>33</v>
      </c>
      <c r="BH57" s="48">
        <f>COUNTIFS(JOURNAL!F:F,"6",JOURNAL!K:K,"COMPLEX H",JOURNAL!O:O,"OT +")</f>
        <v>0</v>
      </c>
      <c r="BI57" s="291"/>
      <c r="BJ57" s="59" t="s">
        <v>33</v>
      </c>
      <c r="BK57" s="48">
        <f>COUNTIFS(JOURNAL!F:F,"6",JOURNAL!K:K,"COMPLEX D",JOURNAL!O:O,"OT +")</f>
        <v>0</v>
      </c>
      <c r="BL57" s="291"/>
      <c r="BM57" s="59" t="s">
        <v>33</v>
      </c>
      <c r="BN57" s="48">
        <f>COUNTIFS(JOURNAL!F:F,"6",JOURNAL!K:K,"Multi",JOURNAL!O:O,"OT +")</f>
        <v>0</v>
      </c>
      <c r="BO57" s="291"/>
      <c r="BP57" s="59" t="s">
        <v>33</v>
      </c>
      <c r="BQ57" s="48">
        <f>COUNTIFS(JOURNAL!F:F,"6",JOURNAL!K:K,"None",JOURNAL!O:O,"OT +")</f>
        <v>0</v>
      </c>
      <c r="BR57" s="294"/>
      <c r="BS57" s="59" t="s">
        <v>33</v>
      </c>
      <c r="BT57" s="48">
        <f>COUNTIFS(JOURNAL!F:F,"6",JOURNAL!K:K,"Probably Setup",JOURNAL!O:O,"OT +")</f>
        <v>0</v>
      </c>
    </row>
    <row r="58" spans="3:72" ht="15.75" x14ac:dyDescent="0.25">
      <c r="AP58" s="299"/>
      <c r="AQ58" s="291"/>
      <c r="AR58" s="60" t="s">
        <v>34</v>
      </c>
      <c r="AS58" s="48">
        <f>COUNTIFS(JOURNAL!F:F,"6",JOURNAL!K:K,"2",JOURNAL!O:O,"OT -")</f>
        <v>0</v>
      </c>
      <c r="AT58" s="291"/>
      <c r="AU58" s="60" t="s">
        <v>34</v>
      </c>
      <c r="AV58" s="48">
        <f>COUNTIFS(JOURNAL!F:F,"6",JOURNAL!K:K,"3",JOURNAL!O:O,"OT -")</f>
        <v>0</v>
      </c>
      <c r="AW58" s="291"/>
      <c r="AX58" s="60" t="s">
        <v>34</v>
      </c>
      <c r="AY58" s="48">
        <f>COUNTIFS(JOURNAL!F:F,"6",JOURNAL!K:K,"4",JOURNAL!O:O,"OT -")</f>
        <v>0</v>
      </c>
      <c r="AZ58" s="291"/>
      <c r="BA58" s="60" t="s">
        <v>34</v>
      </c>
      <c r="BB58" s="48">
        <f>COUNTIFS(JOURNAL!F:F,"6",JOURNAL!K:K,"30",JOURNAL!O:O,"OT -")</f>
        <v>0</v>
      </c>
      <c r="BC58" s="291"/>
      <c r="BD58" s="60" t="s">
        <v>34</v>
      </c>
      <c r="BE58" s="48">
        <f>COUNTIFS(JOURNAL!F:F,"6",JOURNAL!K:K,"50",JOURNAL!O:O,"OT -")</f>
        <v>0</v>
      </c>
      <c r="BF58" s="291"/>
      <c r="BG58" s="60" t="s">
        <v>34</v>
      </c>
      <c r="BH58" s="48">
        <f>COUNTIFS(JOURNAL!F:F,"6",JOURNAL!K:K,"COMPLEX H",JOURNAL!O:O,"OT -")</f>
        <v>0</v>
      </c>
      <c r="BI58" s="291"/>
      <c r="BJ58" s="60" t="s">
        <v>34</v>
      </c>
      <c r="BK58" s="48">
        <f>COUNTIFS(JOURNAL!F:F,"6",JOURNAL!K:K,"COMPLEX D",JOURNAL!O:O,"OT -")</f>
        <v>0</v>
      </c>
      <c r="BL58" s="291"/>
      <c r="BM58" s="60" t="s">
        <v>34</v>
      </c>
      <c r="BN58" s="48">
        <f>COUNTIFS(JOURNAL!F:F,"6",JOURNAL!K:K,"Multi",JOURNAL!O:O,"OT -")</f>
        <v>0</v>
      </c>
      <c r="BO58" s="291"/>
      <c r="BP58" s="60" t="s">
        <v>34</v>
      </c>
      <c r="BQ58" s="48">
        <f>COUNTIFS(JOURNAL!F:F,"6",JOURNAL!K:K,"None",JOURNAL!O:O,"OT -")</f>
        <v>0</v>
      </c>
      <c r="BR58" s="294"/>
      <c r="BS58" s="60" t="s">
        <v>34</v>
      </c>
      <c r="BT58" s="48">
        <f>COUNTIFS(JOURNAL!F:F,"6",JOURNAL!K:K,"Probably Setup",JOURNAL!O:O,"OT -")</f>
        <v>0</v>
      </c>
    </row>
    <row r="59" spans="3:72" ht="15.75" x14ac:dyDescent="0.25">
      <c r="AP59" s="299"/>
      <c r="AQ59" s="291"/>
      <c r="AR59" s="146" t="s">
        <v>115</v>
      </c>
      <c r="AS59" s="48">
        <f>SUM(AS52:AS58)</f>
        <v>0</v>
      </c>
      <c r="AT59" s="291"/>
      <c r="AU59" s="146" t="s">
        <v>115</v>
      </c>
      <c r="AV59" s="48">
        <f>SUM(AV52:AV58)</f>
        <v>0</v>
      </c>
      <c r="AW59" s="291"/>
      <c r="AX59" s="146" t="s">
        <v>115</v>
      </c>
      <c r="AY59" s="48">
        <f>SUM(AY52:AY58)</f>
        <v>0</v>
      </c>
      <c r="AZ59" s="291"/>
      <c r="BA59" s="146" t="s">
        <v>115</v>
      </c>
      <c r="BB59" s="48">
        <f>SUM(BB52:BB58)</f>
        <v>0</v>
      </c>
      <c r="BC59" s="291"/>
      <c r="BD59" s="146" t="s">
        <v>115</v>
      </c>
      <c r="BE59" s="48">
        <f>SUM(BE52:BE58)</f>
        <v>0</v>
      </c>
      <c r="BF59" s="291"/>
      <c r="BG59" s="146" t="s">
        <v>115</v>
      </c>
      <c r="BH59" s="48">
        <f>SUM(BH52:BH58)</f>
        <v>0</v>
      </c>
      <c r="BI59" s="291"/>
      <c r="BJ59" s="146" t="s">
        <v>115</v>
      </c>
      <c r="BK59" s="48">
        <f>SUM(BK52:BK58)</f>
        <v>0</v>
      </c>
      <c r="BL59" s="291"/>
      <c r="BM59" s="146" t="s">
        <v>115</v>
      </c>
      <c r="BN59" s="48">
        <f>SUM(BN52:BN58)</f>
        <v>0</v>
      </c>
      <c r="BO59" s="291"/>
      <c r="BP59" s="146" t="s">
        <v>115</v>
      </c>
      <c r="BQ59" s="48">
        <f>SUM(BQ52:BQ58)</f>
        <v>0</v>
      </c>
      <c r="BR59" s="294"/>
      <c r="BS59" s="146" t="s">
        <v>115</v>
      </c>
      <c r="BT59" s="48">
        <f>SUM(BT52:BT58)</f>
        <v>0</v>
      </c>
    </row>
    <row r="60" spans="3:72" ht="15.75" x14ac:dyDescent="0.25">
      <c r="AP60" s="299"/>
      <c r="AQ60" s="292"/>
      <c r="AR60" s="191" t="s">
        <v>44</v>
      </c>
      <c r="AS60" s="48" t="e">
        <f>SUM(AS52,AS54,AS55,AS57)/AS59</f>
        <v>#DIV/0!</v>
      </c>
      <c r="AT60" s="292"/>
      <c r="AU60" s="191" t="s">
        <v>44</v>
      </c>
      <c r="AV60" s="48" t="e">
        <f>SUM(AV52,AV54,AV55,AV57)/AV59</f>
        <v>#DIV/0!</v>
      </c>
      <c r="AW60" s="292"/>
      <c r="AX60" s="191" t="s">
        <v>44</v>
      </c>
      <c r="AY60" s="48" t="e">
        <f>SUM(AY52,AY54,AY55,AY57)/AY59</f>
        <v>#DIV/0!</v>
      </c>
      <c r="AZ60" s="292"/>
      <c r="BA60" s="191" t="s">
        <v>44</v>
      </c>
      <c r="BB60" s="48" t="e">
        <f>SUM(BB52,BB54,BB55,BB57)/BB59</f>
        <v>#DIV/0!</v>
      </c>
      <c r="BC60" s="292"/>
      <c r="BD60" s="191" t="s">
        <v>44</v>
      </c>
      <c r="BE60" s="48" t="e">
        <f>SUM(BE52,BE54,BE55,BE57)/BE59</f>
        <v>#DIV/0!</v>
      </c>
      <c r="BF60" s="292"/>
      <c r="BG60" s="191" t="s">
        <v>44</v>
      </c>
      <c r="BH60" s="48" t="e">
        <f>SUM(BH52,BH54,BH55,BH57)/BH59</f>
        <v>#DIV/0!</v>
      </c>
      <c r="BI60" s="292"/>
      <c r="BJ60" s="191" t="s">
        <v>44</v>
      </c>
      <c r="BK60" s="48" t="e">
        <f>SUM(BK52,BK54,BK55,BK57)/BK59</f>
        <v>#DIV/0!</v>
      </c>
      <c r="BL60" s="292"/>
      <c r="BM60" s="191" t="s">
        <v>44</v>
      </c>
      <c r="BN60" s="48" t="e">
        <f>SUM(BN52,BN54,BN55,BN57)/BN59</f>
        <v>#DIV/0!</v>
      </c>
      <c r="BO60" s="292"/>
      <c r="BP60" s="191" t="s">
        <v>44</v>
      </c>
      <c r="BQ60" s="48" t="e">
        <f>SUM(BQ52,BQ54,BQ55,BQ57)/BQ59</f>
        <v>#DIV/0!</v>
      </c>
      <c r="BR60" s="295"/>
      <c r="BS60" s="191" t="s">
        <v>44</v>
      </c>
      <c r="BT60" s="48" t="e">
        <f>SUM(BT52,BT54,BT55,BT57)/BT59</f>
        <v>#DIV/0!</v>
      </c>
    </row>
    <row r="62" spans="3:72" ht="18" customHeight="1" x14ac:dyDescent="0.25">
      <c r="AP62" s="299" t="s">
        <v>74</v>
      </c>
      <c r="AQ62" s="290" t="s">
        <v>161</v>
      </c>
      <c r="AR62" s="54" t="s">
        <v>27</v>
      </c>
      <c r="AS62" s="48">
        <f>COUNTIFS(JOURNAL!F:F,"7",JOURNAL!K:K,"2",JOURNAL!O:O,"TP")</f>
        <v>0</v>
      </c>
      <c r="AT62" s="290" t="s">
        <v>162</v>
      </c>
      <c r="AU62" s="54" t="s">
        <v>27</v>
      </c>
      <c r="AV62" s="48">
        <f>COUNTIFS(JOURNAL!F:F,"7",JOURNAL!K:K,"3",JOURNAL!O:O,"TP")</f>
        <v>0</v>
      </c>
      <c r="AW62" s="290" t="s">
        <v>163</v>
      </c>
      <c r="AX62" s="54" t="s">
        <v>27</v>
      </c>
      <c r="AY62" s="48">
        <f>COUNTIFS(JOURNAL!F:F,"7",JOURNAL!K:K,"4",JOURNAL!O:O,"TP")</f>
        <v>0</v>
      </c>
      <c r="AZ62" s="290" t="s">
        <v>164</v>
      </c>
      <c r="BA62" s="54" t="s">
        <v>27</v>
      </c>
      <c r="BB62" s="48">
        <f>COUNTIFS(JOURNAL!F:F,"7",JOURNAL!K:K,"30",JOURNAL!O:O,"TP")</f>
        <v>0</v>
      </c>
      <c r="BC62" s="290" t="s">
        <v>165</v>
      </c>
      <c r="BD62" s="54" t="s">
        <v>27</v>
      </c>
      <c r="BE62" s="48">
        <f>COUNTIFS(JOURNAL!F:F,"7",JOURNAL!K:K,"50",JOURNAL!O:O,"TP")</f>
        <v>0</v>
      </c>
      <c r="BF62" s="290" t="s">
        <v>156</v>
      </c>
      <c r="BG62" s="54" t="s">
        <v>27</v>
      </c>
      <c r="BH62" s="48">
        <f>COUNTIFS(JOURNAL!F:F,"7",JOURNAL!K:K,"COMPLEX H",JOURNAL!O:O,"TP")</f>
        <v>0</v>
      </c>
      <c r="BI62" s="290" t="s">
        <v>66</v>
      </c>
      <c r="BJ62" s="54" t="s">
        <v>27</v>
      </c>
      <c r="BK62" s="48">
        <f>COUNTIFS(JOURNAL!F:F,"7",JOURNAL!K:K,"COMPLEX D",JOURNAL!O:O,"TP")</f>
        <v>0</v>
      </c>
      <c r="BL62" s="290" t="s">
        <v>152</v>
      </c>
      <c r="BM62" s="54" t="s">
        <v>27</v>
      </c>
      <c r="BN62" s="48">
        <f>COUNTIFS(JOURNAL!F:F,"7",JOURNAL!K:K,"Multi",JOURNAL!O:O,"TP")</f>
        <v>0</v>
      </c>
      <c r="BO62" s="290" t="s">
        <v>171</v>
      </c>
      <c r="BP62" s="54" t="s">
        <v>27</v>
      </c>
      <c r="BQ62" s="48">
        <f>COUNTIFS(JOURNAL!F:F,"7",JOURNAL!K:K,"None",JOURNAL!O:O,"TP")</f>
        <v>0</v>
      </c>
      <c r="BR62" s="293" t="s">
        <v>172</v>
      </c>
      <c r="BS62" s="54" t="s">
        <v>27</v>
      </c>
      <c r="BT62" s="48">
        <f>COUNTIFS(JOURNAL!F:F,"7",JOURNAL!K:K,"Probably Setup",JOURNAL!O:O,"TP")</f>
        <v>0</v>
      </c>
    </row>
    <row r="63" spans="3:72" ht="18.75" customHeight="1" x14ac:dyDescent="0.25">
      <c r="AP63" s="299"/>
      <c r="AQ63" s="291"/>
      <c r="AR63" s="55" t="s">
        <v>29</v>
      </c>
      <c r="AS63" s="48">
        <f>COUNTIFS(JOURNAL!F:F,"7",JOURNAL!K:K,"2",JOURNAL!O:O,"SL")</f>
        <v>0</v>
      </c>
      <c r="AT63" s="291"/>
      <c r="AU63" s="55" t="s">
        <v>29</v>
      </c>
      <c r="AV63" s="48">
        <f>COUNTIFS(JOURNAL!F:F,"7",JOURNAL!K:K,"3",JOURNAL!O:O,"SL")</f>
        <v>0</v>
      </c>
      <c r="AW63" s="291"/>
      <c r="AX63" s="55" t="s">
        <v>29</v>
      </c>
      <c r="AY63" s="48">
        <f>COUNTIFS(JOURNAL!F:F,"7",JOURNAL!K:K,"4",JOURNAL!O:O,"SL")</f>
        <v>0</v>
      </c>
      <c r="AZ63" s="291"/>
      <c r="BA63" s="55" t="s">
        <v>29</v>
      </c>
      <c r="BB63" s="48">
        <f>COUNTIFS(JOURNAL!F:F,"7",JOURNAL!K:K,"30",JOURNAL!O:O,"SL")</f>
        <v>0</v>
      </c>
      <c r="BC63" s="291"/>
      <c r="BD63" s="55" t="s">
        <v>29</v>
      </c>
      <c r="BE63" s="48">
        <f>COUNTIFS(JOURNAL!F:F,"7",JOURNAL!K:K,"50",JOURNAL!O:O,"SL")</f>
        <v>0</v>
      </c>
      <c r="BF63" s="291"/>
      <c r="BG63" s="55" t="s">
        <v>29</v>
      </c>
      <c r="BH63" s="48">
        <f>COUNTIFS(JOURNAL!F:F,"7",JOURNAL!K:K,"COMPLEX H",JOURNAL!O:O,"SL")</f>
        <v>0</v>
      </c>
      <c r="BI63" s="291"/>
      <c r="BJ63" s="55" t="s">
        <v>29</v>
      </c>
      <c r="BK63" s="48">
        <f>COUNTIFS(JOURNAL!F:F,"7",JOURNAL!K:K,"COMPLEX D",JOURNAL!O:O,"SL")</f>
        <v>0</v>
      </c>
      <c r="BL63" s="291"/>
      <c r="BM63" s="55" t="s">
        <v>29</v>
      </c>
      <c r="BN63" s="48">
        <f>COUNTIFS(JOURNAL!F:F,"7",JOURNAL!K:K,"Multi",JOURNAL!O:O,"SL")</f>
        <v>0</v>
      </c>
      <c r="BO63" s="291"/>
      <c r="BP63" s="55" t="s">
        <v>29</v>
      </c>
      <c r="BQ63" s="48">
        <f>COUNTIFS(JOURNAL!F:F,"7",JOURNAL!K:K,"None",JOURNAL!O:O,"SL")</f>
        <v>0</v>
      </c>
      <c r="BR63" s="294"/>
      <c r="BS63" s="55" t="s">
        <v>29</v>
      </c>
      <c r="BT63" s="48">
        <f>COUNTIFS(JOURNAL!F:F,"7",JOURNAL!K:K,"Probably Setup",JOURNAL!O:O,"SL")</f>
        <v>0</v>
      </c>
    </row>
    <row r="64" spans="3:72" ht="18.75" customHeight="1" x14ac:dyDescent="0.25">
      <c r="AP64" s="299"/>
      <c r="AQ64" s="291"/>
      <c r="AR64" s="56" t="s">
        <v>32</v>
      </c>
      <c r="AS64" s="48">
        <f>COUNTIFS(JOURNAL!F:F,"7",JOURNAL!K:K,"2",JOURNAL!O:O,"RF")</f>
        <v>0</v>
      </c>
      <c r="AT64" s="291"/>
      <c r="AU64" s="56" t="s">
        <v>32</v>
      </c>
      <c r="AV64" s="48">
        <f>COUNTIFS(JOURNAL!F:F,"7",JOURNAL!K:K,"3",JOURNAL!O:O,"RF")</f>
        <v>0</v>
      </c>
      <c r="AW64" s="291"/>
      <c r="AX64" s="56" t="s">
        <v>32</v>
      </c>
      <c r="AY64" s="48">
        <f>COUNTIFS(JOURNAL!F:F,"7",JOURNAL!K:K,"4",JOURNAL!O:O,"RF")</f>
        <v>0</v>
      </c>
      <c r="AZ64" s="291"/>
      <c r="BA64" s="56" t="s">
        <v>32</v>
      </c>
      <c r="BB64" s="48">
        <f>COUNTIFS(JOURNAL!F:F,"7",JOURNAL!K:K,"30",JOURNAL!O:O,"RF")</f>
        <v>0</v>
      </c>
      <c r="BC64" s="291"/>
      <c r="BD64" s="56" t="s">
        <v>32</v>
      </c>
      <c r="BE64" s="48">
        <f>COUNTIFS(JOURNAL!F:F,"7",JOURNAL!K:K,"50",JOURNAL!O:O,"RF")</f>
        <v>0</v>
      </c>
      <c r="BF64" s="291"/>
      <c r="BG64" s="56" t="s">
        <v>32</v>
      </c>
      <c r="BH64" s="48">
        <f>COUNTIFS(JOURNAL!F:F,"7",JOURNAL!K:K,"COMPLEX H",JOURNAL!O:O,"RF")</f>
        <v>0</v>
      </c>
      <c r="BI64" s="291"/>
      <c r="BJ64" s="56" t="s">
        <v>32</v>
      </c>
      <c r="BK64" s="48">
        <f>COUNTIFS(JOURNAL!F:F,"7",JOURNAL!K:K,"COMPLEX D",JOURNAL!O:O,"RF")</f>
        <v>0</v>
      </c>
      <c r="BL64" s="291"/>
      <c r="BM64" s="56" t="s">
        <v>32</v>
      </c>
      <c r="BN64" s="48">
        <f>COUNTIFS(JOURNAL!F:F,"7",JOURNAL!K:K,"Multi",JOURNAL!O:O,"RF")</f>
        <v>0</v>
      </c>
      <c r="BO64" s="291"/>
      <c r="BP64" s="56" t="s">
        <v>32</v>
      </c>
      <c r="BQ64" s="48">
        <f>COUNTIFS(JOURNAL!F:F,"7",JOURNAL!K:K,"None",JOURNAL!O:O,"RF")</f>
        <v>0</v>
      </c>
      <c r="BR64" s="294"/>
      <c r="BS64" s="56" t="s">
        <v>32</v>
      </c>
      <c r="BT64" s="48">
        <f>COUNTIFS(JOURNAL!F:F,"7",JOURNAL!K:K,"Probably Setup",JOURNAL!O:O,"RF")</f>
        <v>0</v>
      </c>
    </row>
    <row r="65" spans="42:72" ht="18" customHeight="1" x14ac:dyDescent="0.25">
      <c r="AP65" s="299"/>
      <c r="AQ65" s="291"/>
      <c r="AR65" s="57" t="s">
        <v>30</v>
      </c>
      <c r="AS65" s="48">
        <f>COUNTIFS(JOURNAL!F:F,"7",JOURNAL!K:K,"2",JOURNAL!O:O,"PS")</f>
        <v>0</v>
      </c>
      <c r="AT65" s="291"/>
      <c r="AU65" s="57" t="s">
        <v>30</v>
      </c>
      <c r="AV65" s="48">
        <f>COUNTIFS(JOURNAL!F:F,"7",JOURNAL!K:K,"3",JOURNAL!O:O,"PS")</f>
        <v>0</v>
      </c>
      <c r="AW65" s="291"/>
      <c r="AX65" s="57" t="s">
        <v>30</v>
      </c>
      <c r="AY65" s="48">
        <f>COUNTIFS(JOURNAL!F:F,"7",JOURNAL!K:K,"4",JOURNAL!O:O,"PS")</f>
        <v>0</v>
      </c>
      <c r="AZ65" s="291"/>
      <c r="BA65" s="57" t="s">
        <v>30</v>
      </c>
      <c r="BB65" s="48">
        <f>COUNTIFS(JOURNAL!F:F,"7",JOURNAL!K:K,"30",JOURNAL!O:O,"PS")</f>
        <v>0</v>
      </c>
      <c r="BC65" s="291"/>
      <c r="BD65" s="57" t="s">
        <v>30</v>
      </c>
      <c r="BE65" s="48">
        <f>COUNTIFS(JOURNAL!F:F,"7",JOURNAL!K:K,"50",JOURNAL!O:O,"PS")</f>
        <v>0</v>
      </c>
      <c r="BF65" s="291"/>
      <c r="BG65" s="57" t="s">
        <v>30</v>
      </c>
      <c r="BH65" s="48">
        <f>COUNTIFS(JOURNAL!F:F,"7",JOURNAL!K:K,"COMPLEX H",JOURNAL!O:O,"PS")</f>
        <v>0</v>
      </c>
      <c r="BI65" s="291"/>
      <c r="BJ65" s="57" t="s">
        <v>30</v>
      </c>
      <c r="BK65" s="48">
        <f>COUNTIFS(JOURNAL!F:F,"7",JOURNAL!K:K,"COMPLEX D",JOURNAL!O:O,"PS")</f>
        <v>0</v>
      </c>
      <c r="BL65" s="291"/>
      <c r="BM65" s="57" t="s">
        <v>30</v>
      </c>
      <c r="BN65" s="48">
        <f>COUNTIFS(JOURNAL!F:F,"7",JOURNAL!K:K,"Multi",JOURNAL!O:O,"PS")</f>
        <v>0</v>
      </c>
      <c r="BO65" s="291"/>
      <c r="BP65" s="57" t="s">
        <v>30</v>
      </c>
      <c r="BQ65" s="48">
        <f>COUNTIFS(JOURNAL!F:F,"7",JOURNAL!K:K,"None",JOURNAL!O:O,"PS")</f>
        <v>0</v>
      </c>
      <c r="BR65" s="294"/>
      <c r="BS65" s="57" t="s">
        <v>30</v>
      </c>
      <c r="BT65" s="48">
        <f>COUNTIFS(JOURNAL!F:F,"7",JOURNAL!K:K,"Probably Setup",JOURNAL!O:O,"PS")</f>
        <v>0</v>
      </c>
    </row>
    <row r="66" spans="42:72" ht="18.75" customHeight="1" x14ac:dyDescent="0.25">
      <c r="AP66" s="299"/>
      <c r="AQ66" s="291"/>
      <c r="AR66" s="58" t="s">
        <v>31</v>
      </c>
      <c r="AS66" s="48">
        <f>COUNTIFS(JOURNAL!F:F,"7",JOURNAL!K:K,"2",JOURNAL!O:O,"LS")</f>
        <v>0</v>
      </c>
      <c r="AT66" s="291"/>
      <c r="AU66" s="58" t="s">
        <v>31</v>
      </c>
      <c r="AV66" s="48">
        <f>COUNTIFS(JOURNAL!F:F,"7",JOURNAL!K:K,"3",JOURNAL!O:O,"LS")</f>
        <v>0</v>
      </c>
      <c r="AW66" s="291"/>
      <c r="AX66" s="58" t="s">
        <v>31</v>
      </c>
      <c r="AY66" s="48">
        <f>COUNTIFS(JOURNAL!F:F,"7",JOURNAL!K:K,"4",JOURNAL!O:O,"LS")</f>
        <v>0</v>
      </c>
      <c r="AZ66" s="291"/>
      <c r="BA66" s="58" t="s">
        <v>31</v>
      </c>
      <c r="BB66" s="48">
        <f>COUNTIFS(JOURNAL!F:F,"7",JOURNAL!K:K,"30",JOURNAL!O:O,"LS")</f>
        <v>0</v>
      </c>
      <c r="BC66" s="291"/>
      <c r="BD66" s="58" t="s">
        <v>31</v>
      </c>
      <c r="BE66" s="48">
        <f>COUNTIFS(JOURNAL!F:F,"7",JOURNAL!K:K,"50",JOURNAL!O:O,"LS")</f>
        <v>0</v>
      </c>
      <c r="BF66" s="291"/>
      <c r="BG66" s="58" t="s">
        <v>31</v>
      </c>
      <c r="BH66" s="48">
        <f>COUNTIFS(JOURNAL!F:F,"7",JOURNAL!K:K,"COMPLEX H",JOURNAL!O:O,"LS")</f>
        <v>0</v>
      </c>
      <c r="BI66" s="291"/>
      <c r="BJ66" s="58" t="s">
        <v>31</v>
      </c>
      <c r="BK66" s="48">
        <f>COUNTIFS(JOURNAL!F:F,"7",JOURNAL!K:K,"COMPLEX D",JOURNAL!O:O,"LS")</f>
        <v>0</v>
      </c>
      <c r="BL66" s="291"/>
      <c r="BM66" s="58" t="s">
        <v>31</v>
      </c>
      <c r="BN66" s="48">
        <f>COUNTIFS(JOURNAL!F:F,"7",JOURNAL!K:K,"Multi",JOURNAL!O:O,"LS")</f>
        <v>0</v>
      </c>
      <c r="BO66" s="291"/>
      <c r="BP66" s="58" t="s">
        <v>31</v>
      </c>
      <c r="BQ66" s="48">
        <f>COUNTIFS(JOURNAL!F:F,"7",JOURNAL!K:K,"None",JOURNAL!O:O,"LS")</f>
        <v>0</v>
      </c>
      <c r="BR66" s="294"/>
      <c r="BS66" s="58" t="s">
        <v>31</v>
      </c>
      <c r="BT66" s="48">
        <f>COUNTIFS(JOURNAL!F:F,"7",JOURNAL!K:K,"Probably Setup",JOURNAL!O:O,"LS")</f>
        <v>0</v>
      </c>
    </row>
    <row r="67" spans="42:72" ht="15.75" x14ac:dyDescent="0.25">
      <c r="AP67" s="299"/>
      <c r="AQ67" s="291"/>
      <c r="AR67" s="59" t="s">
        <v>33</v>
      </c>
      <c r="AS67" s="48">
        <f>COUNTIFS(JOURNAL!F:F,"7",JOURNAL!K:K,"2",JOURNAL!O:O,"OT +")</f>
        <v>0</v>
      </c>
      <c r="AT67" s="291"/>
      <c r="AU67" s="59" t="s">
        <v>33</v>
      </c>
      <c r="AV67" s="48">
        <f>COUNTIFS(JOURNAL!F:F,"7",JOURNAL!K:K,"3",JOURNAL!O:O,"OT +")</f>
        <v>0</v>
      </c>
      <c r="AW67" s="291"/>
      <c r="AX67" s="59" t="s">
        <v>33</v>
      </c>
      <c r="AY67" s="48">
        <f>COUNTIFS(JOURNAL!F:F,"7",JOURNAL!K:K,"4",JOURNAL!O:O,"OT +")</f>
        <v>0</v>
      </c>
      <c r="AZ67" s="291"/>
      <c r="BA67" s="59" t="s">
        <v>33</v>
      </c>
      <c r="BB67" s="48">
        <f>COUNTIFS(JOURNAL!F:F,"7",JOURNAL!K:K,"30",JOURNAL!O:O,"OT +")</f>
        <v>0</v>
      </c>
      <c r="BC67" s="291"/>
      <c r="BD67" s="59" t="s">
        <v>33</v>
      </c>
      <c r="BE67" s="48">
        <f>COUNTIFS(JOURNAL!F:F,"7",JOURNAL!K:K,"50",JOURNAL!O:O,"OT +")</f>
        <v>0</v>
      </c>
      <c r="BF67" s="291"/>
      <c r="BG67" s="59" t="s">
        <v>33</v>
      </c>
      <c r="BH67" s="48">
        <f>COUNTIFS(JOURNAL!F:F,"7",JOURNAL!K:K,"COMPLEX H",JOURNAL!O:O,"OT +")</f>
        <v>0</v>
      </c>
      <c r="BI67" s="291"/>
      <c r="BJ67" s="59" t="s">
        <v>33</v>
      </c>
      <c r="BK67" s="48">
        <f>COUNTIFS(JOURNAL!F:F,"7",JOURNAL!K:K,"COMPLEX D",JOURNAL!O:O,"OT +")</f>
        <v>0</v>
      </c>
      <c r="BL67" s="291"/>
      <c r="BM67" s="59" t="s">
        <v>33</v>
      </c>
      <c r="BN67" s="48">
        <f>COUNTIFS(JOURNAL!F:F,"7",JOURNAL!K:K,"Multi",JOURNAL!O:O,"OT +")</f>
        <v>0</v>
      </c>
      <c r="BO67" s="291"/>
      <c r="BP67" s="59" t="s">
        <v>33</v>
      </c>
      <c r="BQ67" s="48">
        <f>COUNTIFS(JOURNAL!F:F,"7",JOURNAL!K:K,"None",JOURNAL!O:O,"OT +")</f>
        <v>0</v>
      </c>
      <c r="BR67" s="294"/>
      <c r="BS67" s="59" t="s">
        <v>33</v>
      </c>
      <c r="BT67" s="48">
        <f>COUNTIFS(JOURNAL!F:F,"7",JOURNAL!K:K,"Probably Setup",JOURNAL!O:O,"OT +")</f>
        <v>0</v>
      </c>
    </row>
    <row r="68" spans="42:72" ht="15.75" x14ac:dyDescent="0.25">
      <c r="AP68" s="299"/>
      <c r="AQ68" s="291"/>
      <c r="AR68" s="60" t="s">
        <v>34</v>
      </c>
      <c r="AS68" s="48">
        <f>COUNTIFS(JOURNAL!F:F,"7",JOURNAL!K:K,"2",JOURNAL!O:O,"OT -")</f>
        <v>0</v>
      </c>
      <c r="AT68" s="291"/>
      <c r="AU68" s="60" t="s">
        <v>34</v>
      </c>
      <c r="AV68" s="48">
        <f>COUNTIFS(JOURNAL!F:F,"7",JOURNAL!K:K,"3",JOURNAL!O:O,"OT -")</f>
        <v>0</v>
      </c>
      <c r="AW68" s="291"/>
      <c r="AX68" s="60" t="s">
        <v>34</v>
      </c>
      <c r="AY68" s="48">
        <f>COUNTIFS(JOURNAL!F:F,"7",JOURNAL!K:K,"4",JOURNAL!O:O,"OT -")</f>
        <v>0</v>
      </c>
      <c r="AZ68" s="291"/>
      <c r="BA68" s="60" t="s">
        <v>34</v>
      </c>
      <c r="BB68" s="48">
        <f>COUNTIFS(JOURNAL!F:F,"7",JOURNAL!K:K,"30",JOURNAL!O:O,"OT -")</f>
        <v>0</v>
      </c>
      <c r="BC68" s="291"/>
      <c r="BD68" s="60" t="s">
        <v>34</v>
      </c>
      <c r="BE68" s="48">
        <f>COUNTIFS(JOURNAL!F:F,"7",JOURNAL!K:K,"50",JOURNAL!O:O,"OT -")</f>
        <v>0</v>
      </c>
      <c r="BF68" s="291"/>
      <c r="BG68" s="60" t="s">
        <v>34</v>
      </c>
      <c r="BH68" s="48">
        <f>COUNTIFS(JOURNAL!F:F,"7",JOURNAL!K:K,"COMPLEX H",JOURNAL!O:O,"OT -")</f>
        <v>0</v>
      </c>
      <c r="BI68" s="291"/>
      <c r="BJ68" s="60" t="s">
        <v>34</v>
      </c>
      <c r="BK68" s="48">
        <f>COUNTIFS(JOURNAL!F:F,"7",JOURNAL!K:K,"COMPLEX D",JOURNAL!O:O,"OT -")</f>
        <v>0</v>
      </c>
      <c r="BL68" s="291"/>
      <c r="BM68" s="60" t="s">
        <v>34</v>
      </c>
      <c r="BN68" s="48">
        <f>COUNTIFS(JOURNAL!F:F,"7",JOURNAL!K:K,"Multi",JOURNAL!O:O,"OT -")</f>
        <v>0</v>
      </c>
      <c r="BO68" s="291"/>
      <c r="BP68" s="60" t="s">
        <v>34</v>
      </c>
      <c r="BQ68" s="48">
        <f>COUNTIFS(JOURNAL!F:F,"7",JOURNAL!K:K,"None",JOURNAL!O:O,"OT -")</f>
        <v>0</v>
      </c>
      <c r="BR68" s="294"/>
      <c r="BS68" s="60" t="s">
        <v>34</v>
      </c>
      <c r="BT68" s="48">
        <f>COUNTIFS(JOURNAL!F:F,"7",JOURNAL!K:K,"Probably Setup",JOURNAL!O:O,"OT -")</f>
        <v>0</v>
      </c>
    </row>
    <row r="69" spans="42:72" ht="15.75" x14ac:dyDescent="0.25">
      <c r="AP69" s="299"/>
      <c r="AQ69" s="291"/>
      <c r="AR69" s="146" t="s">
        <v>115</v>
      </c>
      <c r="AS69" s="48">
        <f>SUM(AS62:AS68)</f>
        <v>0</v>
      </c>
      <c r="AT69" s="291"/>
      <c r="AU69" s="146" t="s">
        <v>115</v>
      </c>
      <c r="AV69" s="48">
        <f>SUM(AV62:AV68)</f>
        <v>0</v>
      </c>
      <c r="AW69" s="291"/>
      <c r="AX69" s="146" t="s">
        <v>115</v>
      </c>
      <c r="AY69" s="48">
        <f>SUM(AY62:AY68)</f>
        <v>0</v>
      </c>
      <c r="AZ69" s="291"/>
      <c r="BA69" s="146" t="s">
        <v>115</v>
      </c>
      <c r="BB69" s="48">
        <f>SUM(BB62:BB68)</f>
        <v>0</v>
      </c>
      <c r="BC69" s="291"/>
      <c r="BD69" s="146" t="s">
        <v>115</v>
      </c>
      <c r="BE69" s="48">
        <f>SUM(BE62:BE68)</f>
        <v>0</v>
      </c>
      <c r="BF69" s="291"/>
      <c r="BG69" s="146" t="s">
        <v>115</v>
      </c>
      <c r="BH69" s="48">
        <f>SUM(BH62:BH68)</f>
        <v>0</v>
      </c>
      <c r="BI69" s="291"/>
      <c r="BJ69" s="146" t="s">
        <v>115</v>
      </c>
      <c r="BK69" s="48">
        <f>SUM(BK62:BK68)</f>
        <v>0</v>
      </c>
      <c r="BL69" s="291"/>
      <c r="BM69" s="146" t="s">
        <v>115</v>
      </c>
      <c r="BN69" s="48">
        <f>SUM(BN62:BN68)</f>
        <v>0</v>
      </c>
      <c r="BO69" s="291"/>
      <c r="BP69" s="146" t="s">
        <v>115</v>
      </c>
      <c r="BQ69" s="48">
        <f>SUM(BQ62:BQ68)</f>
        <v>0</v>
      </c>
      <c r="BR69" s="294"/>
      <c r="BS69" s="146" t="s">
        <v>115</v>
      </c>
      <c r="BT69" s="48">
        <f>SUM(BT62:BT68)</f>
        <v>0</v>
      </c>
    </row>
    <row r="70" spans="42:72" ht="15.75" x14ac:dyDescent="0.25">
      <c r="AP70" s="299"/>
      <c r="AQ70" s="292"/>
      <c r="AR70" s="191" t="s">
        <v>44</v>
      </c>
      <c r="AS70" s="48" t="e">
        <f>SUM(AS62,AS64,AS65,AS67)/AS69</f>
        <v>#DIV/0!</v>
      </c>
      <c r="AT70" s="292"/>
      <c r="AU70" s="191" t="s">
        <v>44</v>
      </c>
      <c r="AV70" s="48" t="e">
        <f>SUM(AV62,AV64,AV65,AV67)/AV69</f>
        <v>#DIV/0!</v>
      </c>
      <c r="AW70" s="292"/>
      <c r="AX70" s="191" t="s">
        <v>44</v>
      </c>
      <c r="AY70" s="48" t="e">
        <f>SUM(AY62,AY64,AY65,AY67)/AY69</f>
        <v>#DIV/0!</v>
      </c>
      <c r="AZ70" s="292"/>
      <c r="BA70" s="191" t="s">
        <v>44</v>
      </c>
      <c r="BB70" s="48" t="e">
        <f>SUM(BB62,BB64,BB65,BB67)/BB69</f>
        <v>#DIV/0!</v>
      </c>
      <c r="BC70" s="292"/>
      <c r="BD70" s="191" t="s">
        <v>44</v>
      </c>
      <c r="BE70" s="48" t="e">
        <f>SUM(BE62,BE64,BE65,BE67)/BE69</f>
        <v>#DIV/0!</v>
      </c>
      <c r="BF70" s="292"/>
      <c r="BG70" s="191" t="s">
        <v>44</v>
      </c>
      <c r="BH70" s="48" t="e">
        <f>SUM(BH62,BH64,BH65,BH67)/BH69</f>
        <v>#DIV/0!</v>
      </c>
      <c r="BI70" s="292"/>
      <c r="BJ70" s="191" t="s">
        <v>44</v>
      </c>
      <c r="BK70" s="48" t="e">
        <f>SUM(BK62,BK64,BK65,BK67)/BK69</f>
        <v>#DIV/0!</v>
      </c>
      <c r="BL70" s="292"/>
      <c r="BM70" s="191" t="s">
        <v>44</v>
      </c>
      <c r="BN70" s="48" t="e">
        <f>SUM(BN62,BN64,BN65,BN67)/BN69</f>
        <v>#DIV/0!</v>
      </c>
      <c r="BO70" s="292"/>
      <c r="BP70" s="191" t="s">
        <v>44</v>
      </c>
      <c r="BQ70" s="48" t="e">
        <f>SUM(BQ62,BQ64,BQ65,BQ67)/BQ69</f>
        <v>#DIV/0!</v>
      </c>
      <c r="BR70" s="295"/>
      <c r="BS70" s="191" t="s">
        <v>44</v>
      </c>
      <c r="BT70" s="48" t="e">
        <f>SUM(BT62,BT64,BT65,BT67)/BT69</f>
        <v>#DIV/0!</v>
      </c>
    </row>
    <row r="72" spans="42:72" ht="20.25" customHeight="1" x14ac:dyDescent="0.25">
      <c r="AP72" s="299" t="s">
        <v>75</v>
      </c>
      <c r="AQ72" s="290" t="s">
        <v>161</v>
      </c>
      <c r="AR72" s="54" t="s">
        <v>27</v>
      </c>
      <c r="AS72" s="48">
        <f>COUNTIFS(JOURNAL!F:F,"8",JOURNAL!K:K,"2",JOURNAL!O:O,"TP")</f>
        <v>0</v>
      </c>
      <c r="AT72" s="290" t="s">
        <v>162</v>
      </c>
      <c r="AU72" s="54" t="s">
        <v>27</v>
      </c>
      <c r="AV72" s="48">
        <f>COUNTIFS(JOURNAL!F:F,"8",JOURNAL!K:K,"3",JOURNAL!O:O,"TP")</f>
        <v>0</v>
      </c>
      <c r="AW72" s="290" t="s">
        <v>163</v>
      </c>
      <c r="AX72" s="54" t="s">
        <v>27</v>
      </c>
      <c r="AY72" s="48">
        <f>COUNTIFS(JOURNAL!F:F,"8",JOURNAL!K:K,"4",JOURNAL!O:O,"TP")</f>
        <v>0</v>
      </c>
      <c r="AZ72" s="290" t="s">
        <v>164</v>
      </c>
      <c r="BA72" s="54" t="s">
        <v>27</v>
      </c>
      <c r="BB72" s="48">
        <f>COUNTIFS(JOURNAL!F:F,"8",JOURNAL!K:K,"30",JOURNAL!O:O,"TP")</f>
        <v>0</v>
      </c>
      <c r="BC72" s="290" t="s">
        <v>165</v>
      </c>
      <c r="BD72" s="54" t="s">
        <v>27</v>
      </c>
      <c r="BE72" s="48">
        <f>COUNTIFS(JOURNAL!F:F,"8",JOURNAL!K:K,"50",JOURNAL!O:O,"TP")</f>
        <v>0</v>
      </c>
      <c r="BF72" s="290" t="s">
        <v>156</v>
      </c>
      <c r="BG72" s="54" t="s">
        <v>27</v>
      </c>
      <c r="BH72" s="48">
        <f>COUNTIFS(JOURNAL!F:F,"8",JOURNAL!K:K,"COMPLEX H",JOURNAL!O:O,"TP")</f>
        <v>0</v>
      </c>
      <c r="BI72" s="290" t="s">
        <v>66</v>
      </c>
      <c r="BJ72" s="54" t="s">
        <v>27</v>
      </c>
      <c r="BK72" s="48">
        <f>COUNTIFS(JOURNAL!F:F,"8",JOURNAL!K:K,"COMPLEX D",JOURNAL!O:O,"TP")</f>
        <v>0</v>
      </c>
      <c r="BL72" s="290" t="s">
        <v>152</v>
      </c>
      <c r="BM72" s="54" t="s">
        <v>27</v>
      </c>
      <c r="BN72" s="48">
        <f>COUNTIFS(JOURNAL!F:F,"8",JOURNAL!K:K,"Multi",JOURNAL!O:O,"TP")</f>
        <v>0</v>
      </c>
      <c r="BO72" s="290" t="s">
        <v>171</v>
      </c>
      <c r="BP72" s="54" t="s">
        <v>27</v>
      </c>
      <c r="BQ72" s="48">
        <f>COUNTIFS(JOURNAL!F:F,"8",JOURNAL!K:K,"None",JOURNAL!O:O,"TP")</f>
        <v>0</v>
      </c>
      <c r="BR72" s="293" t="s">
        <v>172</v>
      </c>
      <c r="BS72" s="54" t="s">
        <v>27</v>
      </c>
      <c r="BT72" s="48">
        <f>COUNTIFS(JOURNAL!F:F,"8",JOURNAL!K:K,"Probably Setup",JOURNAL!O:O,"TP")</f>
        <v>0</v>
      </c>
    </row>
    <row r="73" spans="42:72" ht="18" customHeight="1" x14ac:dyDescent="0.25">
      <c r="AP73" s="299"/>
      <c r="AQ73" s="291"/>
      <c r="AR73" s="55" t="s">
        <v>29</v>
      </c>
      <c r="AS73" s="48">
        <f>COUNTIFS(JOURNAL!F:F,"8",JOURNAL!K:K,"2",JOURNAL!O:O,"SL")</f>
        <v>0</v>
      </c>
      <c r="AT73" s="291"/>
      <c r="AU73" s="55" t="s">
        <v>29</v>
      </c>
      <c r="AV73" s="48">
        <f>COUNTIFS(JOURNAL!F:F,"8",JOURNAL!K:K,"3",JOURNAL!O:O,"SL")</f>
        <v>0</v>
      </c>
      <c r="AW73" s="291"/>
      <c r="AX73" s="55" t="s">
        <v>29</v>
      </c>
      <c r="AY73" s="48">
        <f>COUNTIFS(JOURNAL!F:F,"8",JOURNAL!K:K,"4",JOURNAL!O:O,"SL")</f>
        <v>0</v>
      </c>
      <c r="AZ73" s="291"/>
      <c r="BA73" s="55" t="s">
        <v>29</v>
      </c>
      <c r="BB73" s="48">
        <f>COUNTIFS(JOURNAL!F:F,"8",JOURNAL!K:K,"30",JOURNAL!O:O,"SL")</f>
        <v>0</v>
      </c>
      <c r="BC73" s="291"/>
      <c r="BD73" s="55" t="s">
        <v>29</v>
      </c>
      <c r="BE73" s="48">
        <f>COUNTIFS(JOURNAL!F:F,"8",JOURNAL!K:K,"50",JOURNAL!O:O,"SL")</f>
        <v>0</v>
      </c>
      <c r="BF73" s="291"/>
      <c r="BG73" s="55" t="s">
        <v>29</v>
      </c>
      <c r="BH73" s="48">
        <f>COUNTIFS(JOURNAL!F:F,"8",JOURNAL!K:K,"COMPLEX H",JOURNAL!O:O,"SL")</f>
        <v>0</v>
      </c>
      <c r="BI73" s="291"/>
      <c r="BJ73" s="55" t="s">
        <v>29</v>
      </c>
      <c r="BK73" s="48">
        <f>COUNTIFS(JOURNAL!F:F,"8",JOURNAL!K:K,"COMPLEX D",JOURNAL!O:O,"SL")</f>
        <v>0</v>
      </c>
      <c r="BL73" s="291"/>
      <c r="BM73" s="55" t="s">
        <v>29</v>
      </c>
      <c r="BN73" s="48">
        <f>COUNTIFS(JOURNAL!F:F,"8",JOURNAL!K:K,"Multi",JOURNAL!O:O,"SL")</f>
        <v>0</v>
      </c>
      <c r="BO73" s="291"/>
      <c r="BP73" s="55" t="s">
        <v>29</v>
      </c>
      <c r="BQ73" s="48">
        <f>COUNTIFS(JOURNAL!F:F,"8",JOURNAL!K:K,"None",JOURNAL!O:O,"SL")</f>
        <v>0</v>
      </c>
      <c r="BR73" s="294"/>
      <c r="BS73" s="55" t="s">
        <v>29</v>
      </c>
      <c r="BT73" s="48">
        <f>COUNTIFS(JOURNAL!F:F,"8",JOURNAL!K:K,"Probably Setup",JOURNAL!O:O,"SL")</f>
        <v>0</v>
      </c>
    </row>
    <row r="74" spans="42:72" ht="18.75" customHeight="1" x14ac:dyDescent="0.25">
      <c r="AP74" s="299"/>
      <c r="AQ74" s="291"/>
      <c r="AR74" s="56" t="s">
        <v>32</v>
      </c>
      <c r="AS74" s="48">
        <f>COUNTIFS(JOURNAL!F:F,"8",JOURNAL!K:K,"2",JOURNAL!O:O,"RF")</f>
        <v>0</v>
      </c>
      <c r="AT74" s="291"/>
      <c r="AU74" s="56" t="s">
        <v>32</v>
      </c>
      <c r="AV74" s="48">
        <f>COUNTIFS(JOURNAL!F:F,"8",JOURNAL!K:K,"3",JOURNAL!O:O,"RF")</f>
        <v>0</v>
      </c>
      <c r="AW74" s="291"/>
      <c r="AX74" s="56" t="s">
        <v>32</v>
      </c>
      <c r="AY74" s="48">
        <f>COUNTIFS(JOURNAL!F:F,"8",JOURNAL!K:K,"4",JOURNAL!O:O,"RF")</f>
        <v>0</v>
      </c>
      <c r="AZ74" s="291"/>
      <c r="BA74" s="56" t="s">
        <v>32</v>
      </c>
      <c r="BB74" s="48">
        <f>COUNTIFS(JOURNAL!F:F,"8",JOURNAL!K:K,"30",JOURNAL!O:O,"RF")</f>
        <v>0</v>
      </c>
      <c r="BC74" s="291"/>
      <c r="BD74" s="56" t="s">
        <v>32</v>
      </c>
      <c r="BE74" s="48">
        <f>COUNTIFS(JOURNAL!F:F,"8",JOURNAL!K:K,"50",JOURNAL!O:O,"RF")</f>
        <v>0</v>
      </c>
      <c r="BF74" s="291"/>
      <c r="BG74" s="56" t="s">
        <v>32</v>
      </c>
      <c r="BH74" s="48">
        <f>COUNTIFS(JOURNAL!F:F,"8",JOURNAL!K:K,"COMPLEX H",JOURNAL!O:O,"RF")</f>
        <v>0</v>
      </c>
      <c r="BI74" s="291"/>
      <c r="BJ74" s="56" t="s">
        <v>32</v>
      </c>
      <c r="BK74" s="48">
        <f>COUNTIFS(JOURNAL!F:F,"8",JOURNAL!K:K,"COMPLEX D",JOURNAL!O:O,"RF")</f>
        <v>0</v>
      </c>
      <c r="BL74" s="291"/>
      <c r="BM74" s="56" t="s">
        <v>32</v>
      </c>
      <c r="BN74" s="48">
        <f>COUNTIFS(JOURNAL!F:F,"8",JOURNAL!K:K,"Multi",JOURNAL!O:O,"RF")</f>
        <v>0</v>
      </c>
      <c r="BO74" s="291"/>
      <c r="BP74" s="56" t="s">
        <v>32</v>
      </c>
      <c r="BQ74" s="48">
        <f>COUNTIFS(JOURNAL!F:F,"8",JOURNAL!K:K,"None",JOURNAL!O:O,"RF")</f>
        <v>0</v>
      </c>
      <c r="BR74" s="294"/>
      <c r="BS74" s="56" t="s">
        <v>32</v>
      </c>
      <c r="BT74" s="48">
        <f>COUNTIFS(JOURNAL!F:F,"8",JOURNAL!K:K,"Probably Setup",JOURNAL!O:O,"RF")</f>
        <v>0</v>
      </c>
    </row>
    <row r="75" spans="42:72" ht="19.5" customHeight="1" x14ac:dyDescent="0.25">
      <c r="AP75" s="299"/>
      <c r="AQ75" s="291"/>
      <c r="AR75" s="57" t="s">
        <v>30</v>
      </c>
      <c r="AS75" s="48">
        <f>COUNTIFS(JOURNAL!F:F,"8",JOURNAL!K:K,"2",JOURNAL!O:O,"PS")</f>
        <v>0</v>
      </c>
      <c r="AT75" s="291"/>
      <c r="AU75" s="57" t="s">
        <v>30</v>
      </c>
      <c r="AV75" s="48">
        <f>COUNTIFS(JOURNAL!F:F,"8",JOURNAL!K:K,"3",JOURNAL!O:O,"PS")</f>
        <v>0</v>
      </c>
      <c r="AW75" s="291"/>
      <c r="AX75" s="57" t="s">
        <v>30</v>
      </c>
      <c r="AY75" s="48">
        <f>COUNTIFS(JOURNAL!F:F,"8",JOURNAL!K:K,"4",JOURNAL!O:O,"PS")</f>
        <v>0</v>
      </c>
      <c r="AZ75" s="291"/>
      <c r="BA75" s="57" t="s">
        <v>30</v>
      </c>
      <c r="BB75" s="48">
        <f>COUNTIFS(JOURNAL!F:F,"8",JOURNAL!K:K,"30",JOURNAL!O:O,"PS")</f>
        <v>0</v>
      </c>
      <c r="BC75" s="291"/>
      <c r="BD75" s="57" t="s">
        <v>30</v>
      </c>
      <c r="BE75" s="48">
        <f>COUNTIFS(JOURNAL!F:F,"8",JOURNAL!K:K,"50",JOURNAL!O:O,"PS")</f>
        <v>0</v>
      </c>
      <c r="BF75" s="291"/>
      <c r="BG75" s="57" t="s">
        <v>30</v>
      </c>
      <c r="BH75" s="48">
        <f>COUNTIFS(JOURNAL!F:F,"8",JOURNAL!K:K,"COMPLEX H",JOURNAL!O:O,"PS")</f>
        <v>0</v>
      </c>
      <c r="BI75" s="291"/>
      <c r="BJ75" s="57" t="s">
        <v>30</v>
      </c>
      <c r="BK75" s="48">
        <f>COUNTIFS(JOURNAL!F:F,"8",JOURNAL!K:K,"COMPLEX D",JOURNAL!O:O,"PS")</f>
        <v>0</v>
      </c>
      <c r="BL75" s="291"/>
      <c r="BM75" s="57" t="s">
        <v>30</v>
      </c>
      <c r="BN75" s="48">
        <f>COUNTIFS(JOURNAL!F:F,"8",JOURNAL!K:K,"Multi",JOURNAL!O:O,"PS")</f>
        <v>0</v>
      </c>
      <c r="BO75" s="291"/>
      <c r="BP75" s="57" t="s">
        <v>30</v>
      </c>
      <c r="BQ75" s="48">
        <f>COUNTIFS(JOURNAL!F:F,"8",JOURNAL!K:K,"None",JOURNAL!O:O,"PS")</f>
        <v>0</v>
      </c>
      <c r="BR75" s="294"/>
      <c r="BS75" s="57" t="s">
        <v>30</v>
      </c>
      <c r="BT75" s="48">
        <f>COUNTIFS(JOURNAL!F:F,"8",JOURNAL!K:K,"Probably Setup",JOURNAL!O:O,"PS")</f>
        <v>0</v>
      </c>
    </row>
    <row r="76" spans="42:72" ht="15.75" x14ac:dyDescent="0.25">
      <c r="AP76" s="299"/>
      <c r="AQ76" s="291"/>
      <c r="AR76" s="58" t="s">
        <v>31</v>
      </c>
      <c r="AS76" s="48">
        <f>COUNTIFS(JOURNAL!F:F,"8",JOURNAL!K:K,"2",JOURNAL!O:O,"LS")</f>
        <v>0</v>
      </c>
      <c r="AT76" s="291"/>
      <c r="AU76" s="58" t="s">
        <v>31</v>
      </c>
      <c r="AV76" s="48">
        <f>COUNTIFS(JOURNAL!F:F,"8",JOURNAL!K:K,"3",JOURNAL!O:O,"LS")</f>
        <v>0</v>
      </c>
      <c r="AW76" s="291"/>
      <c r="AX76" s="58" t="s">
        <v>31</v>
      </c>
      <c r="AY76" s="48">
        <f>COUNTIFS(JOURNAL!F:F,"8",JOURNAL!K:K,"4",JOURNAL!O:O,"LS")</f>
        <v>0</v>
      </c>
      <c r="AZ76" s="291"/>
      <c r="BA76" s="58" t="s">
        <v>31</v>
      </c>
      <c r="BB76" s="48">
        <f>COUNTIFS(JOURNAL!F:F,"8",JOURNAL!K:K,"30",JOURNAL!O:O,"LS")</f>
        <v>0</v>
      </c>
      <c r="BC76" s="291"/>
      <c r="BD76" s="58" t="s">
        <v>31</v>
      </c>
      <c r="BE76" s="48">
        <f>COUNTIFS(JOURNAL!F:F,"8",JOURNAL!K:K,"50",JOURNAL!O:O,"LS")</f>
        <v>0</v>
      </c>
      <c r="BF76" s="291"/>
      <c r="BG76" s="58" t="s">
        <v>31</v>
      </c>
      <c r="BH76" s="48">
        <f>COUNTIFS(JOURNAL!F:F,"8",JOURNAL!K:K,"COMPLEX H",JOURNAL!O:O,"LS")</f>
        <v>0</v>
      </c>
      <c r="BI76" s="291"/>
      <c r="BJ76" s="58" t="s">
        <v>31</v>
      </c>
      <c r="BK76" s="48">
        <f>COUNTIFS(JOURNAL!F:F,"8",JOURNAL!K:K,"COMPLEX D",JOURNAL!O:O,"LS")</f>
        <v>0</v>
      </c>
      <c r="BL76" s="291"/>
      <c r="BM76" s="58" t="s">
        <v>31</v>
      </c>
      <c r="BN76" s="48">
        <f>COUNTIFS(JOURNAL!F:F,"8",JOURNAL!K:K,"Multi",JOURNAL!O:O,"LS")</f>
        <v>0</v>
      </c>
      <c r="BO76" s="291"/>
      <c r="BP76" s="58" t="s">
        <v>31</v>
      </c>
      <c r="BQ76" s="48">
        <f>COUNTIFS(JOURNAL!F:F,"8",JOURNAL!K:K,"None",JOURNAL!O:O,"LS")</f>
        <v>0</v>
      </c>
      <c r="BR76" s="294"/>
      <c r="BS76" s="58" t="s">
        <v>31</v>
      </c>
      <c r="BT76" s="48">
        <f>COUNTIFS(JOURNAL!F:F,"8",JOURNAL!K:K,"Probably Setup",JOURNAL!O:O,"LS")</f>
        <v>0</v>
      </c>
    </row>
    <row r="77" spans="42:72" ht="15.75" x14ac:dyDescent="0.25">
      <c r="AP77" s="299"/>
      <c r="AQ77" s="291"/>
      <c r="AR77" s="59" t="s">
        <v>33</v>
      </c>
      <c r="AS77" s="48">
        <f>COUNTIFS(JOURNAL!F:F,"8",JOURNAL!K:K,"2",JOURNAL!O:O,"OT +")</f>
        <v>0</v>
      </c>
      <c r="AT77" s="291"/>
      <c r="AU77" s="59" t="s">
        <v>33</v>
      </c>
      <c r="AV77" s="48">
        <f>COUNTIFS(JOURNAL!F:F,"8",JOURNAL!K:K,"3",JOURNAL!O:O,"OT +")</f>
        <v>0</v>
      </c>
      <c r="AW77" s="291"/>
      <c r="AX77" s="59" t="s">
        <v>33</v>
      </c>
      <c r="AY77" s="48">
        <f>COUNTIFS(JOURNAL!F:F,"8",JOURNAL!K:K,"4",JOURNAL!O:O,"OT +")</f>
        <v>0</v>
      </c>
      <c r="AZ77" s="291"/>
      <c r="BA77" s="59" t="s">
        <v>33</v>
      </c>
      <c r="BB77" s="48">
        <f>COUNTIFS(JOURNAL!F:F,"8",JOURNAL!K:K,"30",JOURNAL!O:O,"OT +")</f>
        <v>0</v>
      </c>
      <c r="BC77" s="291"/>
      <c r="BD77" s="59" t="s">
        <v>33</v>
      </c>
      <c r="BE77" s="48">
        <f>COUNTIFS(JOURNAL!F:F,"8",JOURNAL!K:K,"50",JOURNAL!O:O,"OT +")</f>
        <v>0</v>
      </c>
      <c r="BF77" s="291"/>
      <c r="BG77" s="59" t="s">
        <v>33</v>
      </c>
      <c r="BH77" s="48">
        <f>COUNTIFS(JOURNAL!F:F,"8",JOURNAL!K:K,"COMPLEX H",JOURNAL!O:O,"OT +")</f>
        <v>0</v>
      </c>
      <c r="BI77" s="291"/>
      <c r="BJ77" s="59" t="s">
        <v>33</v>
      </c>
      <c r="BK77" s="48">
        <f>COUNTIFS(JOURNAL!F:F,"8",JOURNAL!K:K,"COMPLEX D",JOURNAL!O:O,"OT +")</f>
        <v>0</v>
      </c>
      <c r="BL77" s="291"/>
      <c r="BM77" s="59" t="s">
        <v>33</v>
      </c>
      <c r="BN77" s="48">
        <f>COUNTIFS(JOURNAL!F:F,"8",JOURNAL!K:K,"Multi",JOURNAL!O:O,"OT +")</f>
        <v>0</v>
      </c>
      <c r="BO77" s="291"/>
      <c r="BP77" s="59" t="s">
        <v>33</v>
      </c>
      <c r="BQ77" s="48">
        <f>COUNTIFS(JOURNAL!F:F,"8",JOURNAL!K:K,"None",JOURNAL!O:O,"OT +")</f>
        <v>0</v>
      </c>
      <c r="BR77" s="294"/>
      <c r="BS77" s="59" t="s">
        <v>33</v>
      </c>
      <c r="BT77" s="48">
        <f>COUNTIFS(JOURNAL!F:F,"8",JOURNAL!K:K,"Probably Setup",JOURNAL!O:O,"OT +")</f>
        <v>0</v>
      </c>
    </row>
    <row r="78" spans="42:72" ht="15.75" x14ac:dyDescent="0.25">
      <c r="AP78" s="299"/>
      <c r="AQ78" s="291"/>
      <c r="AR78" s="60" t="s">
        <v>34</v>
      </c>
      <c r="AS78" s="48">
        <f>COUNTIFS(JOURNAL!F:F,"8",JOURNAL!K:K,"2",JOURNAL!O:O,"OT -")</f>
        <v>0</v>
      </c>
      <c r="AT78" s="291"/>
      <c r="AU78" s="60" t="s">
        <v>34</v>
      </c>
      <c r="AV78" s="48">
        <f>COUNTIFS(JOURNAL!F:F,"8",JOURNAL!K:K,"3",JOURNAL!O:O,"OT -")</f>
        <v>0</v>
      </c>
      <c r="AW78" s="291"/>
      <c r="AX78" s="60" t="s">
        <v>34</v>
      </c>
      <c r="AY78" s="48">
        <f>COUNTIFS(JOURNAL!F:F,"8",JOURNAL!K:K,"4",JOURNAL!O:O,"OT -")</f>
        <v>0</v>
      </c>
      <c r="AZ78" s="291"/>
      <c r="BA78" s="60" t="s">
        <v>34</v>
      </c>
      <c r="BB78" s="48">
        <f>COUNTIFS(JOURNAL!F:F,"8",JOURNAL!K:K,"30",JOURNAL!O:O,"OT -")</f>
        <v>0</v>
      </c>
      <c r="BC78" s="291"/>
      <c r="BD78" s="60" t="s">
        <v>34</v>
      </c>
      <c r="BE78" s="48">
        <f>COUNTIFS(JOURNAL!F:F,"8",JOURNAL!K:K,"50",JOURNAL!O:O,"OT -")</f>
        <v>0</v>
      </c>
      <c r="BF78" s="291"/>
      <c r="BG78" s="60" t="s">
        <v>34</v>
      </c>
      <c r="BH78" s="48">
        <f>COUNTIFS(JOURNAL!F:F,"8",JOURNAL!K:K,"COMPLEX H",JOURNAL!O:O,"OT -")</f>
        <v>0</v>
      </c>
      <c r="BI78" s="291"/>
      <c r="BJ78" s="60" t="s">
        <v>34</v>
      </c>
      <c r="BK78" s="48">
        <f>COUNTIFS(JOURNAL!F:F,"8",JOURNAL!K:K,"COMPLEX D",JOURNAL!O:O,"OT -")</f>
        <v>0</v>
      </c>
      <c r="BL78" s="291"/>
      <c r="BM78" s="60" t="s">
        <v>34</v>
      </c>
      <c r="BN78" s="48">
        <f>COUNTIFS(JOURNAL!F:F,"8",JOURNAL!K:K,"Multi",JOURNAL!O:O,"OT -")</f>
        <v>0</v>
      </c>
      <c r="BO78" s="291"/>
      <c r="BP78" s="60" t="s">
        <v>34</v>
      </c>
      <c r="BQ78" s="48">
        <f>COUNTIFS(JOURNAL!F:F,"8",JOURNAL!K:K,"None",JOURNAL!O:O,"OT -")</f>
        <v>0</v>
      </c>
      <c r="BR78" s="294"/>
      <c r="BS78" s="60" t="s">
        <v>34</v>
      </c>
      <c r="BT78" s="48">
        <f>COUNTIFS(JOURNAL!F:F,"8",JOURNAL!K:K,"Probably Setup",JOURNAL!O:O,"OT -")</f>
        <v>0</v>
      </c>
    </row>
    <row r="79" spans="42:72" ht="15.75" x14ac:dyDescent="0.25">
      <c r="AP79" s="299"/>
      <c r="AQ79" s="291"/>
      <c r="AR79" s="146" t="s">
        <v>115</v>
      </c>
      <c r="AS79" s="48">
        <f>SUM(AS72:AS78)</f>
        <v>0</v>
      </c>
      <c r="AT79" s="291"/>
      <c r="AU79" s="146" t="s">
        <v>115</v>
      </c>
      <c r="AV79" s="48">
        <f>SUM(AV72:AV78)</f>
        <v>0</v>
      </c>
      <c r="AW79" s="291"/>
      <c r="AX79" s="146" t="s">
        <v>115</v>
      </c>
      <c r="AY79" s="48">
        <f>SUM(AY72:AY78)</f>
        <v>0</v>
      </c>
      <c r="AZ79" s="291"/>
      <c r="BA79" s="146" t="s">
        <v>115</v>
      </c>
      <c r="BB79" s="48">
        <f>SUM(BB72:BB78)</f>
        <v>0</v>
      </c>
      <c r="BC79" s="291"/>
      <c r="BD79" s="146" t="s">
        <v>115</v>
      </c>
      <c r="BE79" s="48">
        <f>SUM(BE72:BE78)</f>
        <v>0</v>
      </c>
      <c r="BF79" s="291"/>
      <c r="BG79" s="146" t="s">
        <v>115</v>
      </c>
      <c r="BH79" s="48">
        <f>SUM(BH72:BH78)</f>
        <v>0</v>
      </c>
      <c r="BI79" s="291"/>
      <c r="BJ79" s="146" t="s">
        <v>115</v>
      </c>
      <c r="BK79" s="48">
        <f>SUM(BK72:BK78)</f>
        <v>0</v>
      </c>
      <c r="BL79" s="291"/>
      <c r="BM79" s="146" t="s">
        <v>115</v>
      </c>
      <c r="BN79" s="48">
        <f>SUM(BN72:BN78)</f>
        <v>0</v>
      </c>
      <c r="BO79" s="291"/>
      <c r="BP79" s="146" t="s">
        <v>115</v>
      </c>
      <c r="BQ79" s="48">
        <f>SUM(BQ72:BQ78)</f>
        <v>0</v>
      </c>
      <c r="BR79" s="294"/>
      <c r="BS79" s="146" t="s">
        <v>115</v>
      </c>
      <c r="BT79" s="48">
        <f>SUM(BT72:BT78)</f>
        <v>0</v>
      </c>
    </row>
    <row r="80" spans="42:72" ht="15.75" x14ac:dyDescent="0.25">
      <c r="AP80" s="299"/>
      <c r="AQ80" s="292"/>
      <c r="AR80" s="191" t="s">
        <v>44</v>
      </c>
      <c r="AS80" s="48" t="e">
        <f>SUM(AS72,AS74,AS75,AS77)/AS79</f>
        <v>#DIV/0!</v>
      </c>
      <c r="AT80" s="292"/>
      <c r="AU80" s="191" t="s">
        <v>44</v>
      </c>
      <c r="AV80" s="48" t="e">
        <f>SUM(AV72,AV74,AV75,AV77)/AV79</f>
        <v>#DIV/0!</v>
      </c>
      <c r="AW80" s="292"/>
      <c r="AX80" s="191" t="s">
        <v>44</v>
      </c>
      <c r="AY80" s="48" t="e">
        <f>SUM(AY72,AY74,AY75,AY77)/AY79</f>
        <v>#DIV/0!</v>
      </c>
      <c r="AZ80" s="292"/>
      <c r="BA80" s="191" t="s">
        <v>44</v>
      </c>
      <c r="BB80" s="48" t="e">
        <f>SUM(BB72,BB74,BB75,BB77)/BB79</f>
        <v>#DIV/0!</v>
      </c>
      <c r="BC80" s="292"/>
      <c r="BD80" s="191" t="s">
        <v>44</v>
      </c>
      <c r="BE80" s="48" t="e">
        <f>SUM(BE72,BE74,BE75,BE77)/BE79</f>
        <v>#DIV/0!</v>
      </c>
      <c r="BF80" s="292"/>
      <c r="BG80" s="191" t="s">
        <v>44</v>
      </c>
      <c r="BH80" s="48" t="e">
        <f>SUM(BH72,BH74,BH75,BH77)/BH79</f>
        <v>#DIV/0!</v>
      </c>
      <c r="BI80" s="292"/>
      <c r="BJ80" s="191" t="s">
        <v>44</v>
      </c>
      <c r="BK80" s="48" t="e">
        <f>SUM(BK72,BK74,BK75,BK77)/BK79</f>
        <v>#DIV/0!</v>
      </c>
      <c r="BL80" s="292"/>
      <c r="BM80" s="191" t="s">
        <v>44</v>
      </c>
      <c r="BN80" s="48" t="e">
        <f>SUM(BN72,BN74,BN75,BN77)/BN79</f>
        <v>#DIV/0!</v>
      </c>
      <c r="BO80" s="292"/>
      <c r="BP80" s="191" t="s">
        <v>44</v>
      </c>
      <c r="BQ80" s="48" t="e">
        <f>SUM(BQ72,BQ74,BQ75,BQ77)/BQ79</f>
        <v>#DIV/0!</v>
      </c>
      <c r="BR80" s="295"/>
      <c r="BS80" s="191" t="s">
        <v>44</v>
      </c>
      <c r="BT80" s="48" t="e">
        <f>SUM(BT72,BT74,BT75,BT77)/BT79</f>
        <v>#DIV/0!</v>
      </c>
    </row>
    <row r="82" spans="42:72" ht="19.5" customHeight="1" x14ac:dyDescent="0.25">
      <c r="AP82" s="299" t="s">
        <v>76</v>
      </c>
      <c r="AQ82" s="290" t="s">
        <v>161</v>
      </c>
      <c r="AR82" s="54" t="s">
        <v>27</v>
      </c>
      <c r="AS82" s="48">
        <f>COUNTIFS(JOURNAL!F:F,"9",JOURNAL!K:K,"2",JOURNAL!O:O,"TP")</f>
        <v>0</v>
      </c>
      <c r="AT82" s="290" t="s">
        <v>162</v>
      </c>
      <c r="AU82" s="54" t="s">
        <v>27</v>
      </c>
      <c r="AV82" s="48">
        <f>COUNTIFS(JOURNAL!F:F,"9",JOURNAL!K:K,"3",JOURNAL!O:O,"TP")</f>
        <v>0</v>
      </c>
      <c r="AW82" s="290" t="s">
        <v>163</v>
      </c>
      <c r="AX82" s="54" t="s">
        <v>27</v>
      </c>
      <c r="AY82" s="48">
        <f>COUNTIFS(JOURNAL!F:F,"9",JOURNAL!K:K,"4",JOURNAL!O:O,"TP")</f>
        <v>0</v>
      </c>
      <c r="AZ82" s="290" t="s">
        <v>164</v>
      </c>
      <c r="BA82" s="54" t="s">
        <v>27</v>
      </c>
      <c r="BB82" s="48">
        <f>COUNTIFS(JOURNAL!F:F,"9",JOURNAL!K:K,"30",JOURNAL!O:O,"TP")</f>
        <v>0</v>
      </c>
      <c r="BC82" s="290" t="s">
        <v>165</v>
      </c>
      <c r="BD82" s="54" t="s">
        <v>27</v>
      </c>
      <c r="BE82" s="48">
        <f>COUNTIFS(JOURNAL!F:F,"9",JOURNAL!K:K,"50",JOURNAL!O:O,"TP")</f>
        <v>0</v>
      </c>
      <c r="BF82" s="290" t="s">
        <v>156</v>
      </c>
      <c r="BG82" s="54" t="s">
        <v>27</v>
      </c>
      <c r="BH82" s="48">
        <f>COUNTIFS(JOURNAL!F:F,"9",JOURNAL!K:K,"COMPLEX H",JOURNAL!O:O,"TP")</f>
        <v>0</v>
      </c>
      <c r="BI82" s="290" t="s">
        <v>66</v>
      </c>
      <c r="BJ82" s="54" t="s">
        <v>27</v>
      </c>
      <c r="BK82" s="48">
        <f>COUNTIFS(JOURNAL!F:F,"9",JOURNAL!K:K,"COMPLEX D",JOURNAL!O:O,"TP")</f>
        <v>0</v>
      </c>
      <c r="BL82" s="290" t="s">
        <v>152</v>
      </c>
      <c r="BM82" s="54" t="s">
        <v>27</v>
      </c>
      <c r="BN82" s="48">
        <f>COUNTIFS(JOURNAL!F:F,"9",JOURNAL!K:K,"Multi",JOURNAL!O:O,"TP")</f>
        <v>0</v>
      </c>
      <c r="BO82" s="290" t="s">
        <v>171</v>
      </c>
      <c r="BP82" s="54" t="s">
        <v>27</v>
      </c>
      <c r="BQ82" s="48">
        <f>COUNTIFS(JOURNAL!F:F,"9",JOURNAL!K:K,"None",JOURNAL!O:O,"TP")</f>
        <v>0</v>
      </c>
      <c r="BR82" s="293" t="s">
        <v>172</v>
      </c>
      <c r="BS82" s="54" t="s">
        <v>27</v>
      </c>
      <c r="BT82" s="48">
        <f>COUNTIFS(JOURNAL!F:F,"9",JOURNAL!K:K,"Probably Setup",JOURNAL!O:O,"TP")</f>
        <v>0</v>
      </c>
    </row>
    <row r="83" spans="42:72" ht="18.75" customHeight="1" x14ac:dyDescent="0.25">
      <c r="AP83" s="299"/>
      <c r="AQ83" s="291"/>
      <c r="AR83" s="55" t="s">
        <v>29</v>
      </c>
      <c r="AS83" s="48">
        <f>COUNTIFS(JOURNAL!F:F,"9",JOURNAL!K:K,"2",JOURNAL!O:O,"SL")</f>
        <v>0</v>
      </c>
      <c r="AT83" s="291"/>
      <c r="AU83" s="55" t="s">
        <v>29</v>
      </c>
      <c r="AV83" s="48">
        <f>COUNTIFS(JOURNAL!F:F,"9",JOURNAL!K:K,"3",JOURNAL!O:O,"SL")</f>
        <v>0</v>
      </c>
      <c r="AW83" s="291"/>
      <c r="AX83" s="55" t="s">
        <v>29</v>
      </c>
      <c r="AY83" s="48">
        <f>COUNTIFS(JOURNAL!F:F,"9",JOURNAL!K:K,"4",JOURNAL!O:O,"SL")</f>
        <v>0</v>
      </c>
      <c r="AZ83" s="291"/>
      <c r="BA83" s="55" t="s">
        <v>29</v>
      </c>
      <c r="BB83" s="48">
        <f>COUNTIFS(JOURNAL!F:F,"9",JOURNAL!K:K,"30",JOURNAL!O:O,"SL")</f>
        <v>0</v>
      </c>
      <c r="BC83" s="291"/>
      <c r="BD83" s="55" t="s">
        <v>29</v>
      </c>
      <c r="BE83" s="48">
        <f>COUNTIFS(JOURNAL!F:F,"9",JOURNAL!K:K,"50",JOURNAL!O:O,"SL")</f>
        <v>0</v>
      </c>
      <c r="BF83" s="291"/>
      <c r="BG83" s="55" t="s">
        <v>29</v>
      </c>
      <c r="BH83" s="48">
        <f>COUNTIFS(JOURNAL!F:F,"9",JOURNAL!K:K,"COMPLEX H",JOURNAL!O:O,"SL")</f>
        <v>0</v>
      </c>
      <c r="BI83" s="291"/>
      <c r="BJ83" s="55" t="s">
        <v>29</v>
      </c>
      <c r="BK83" s="48">
        <f>COUNTIFS(JOURNAL!F:F,"9",JOURNAL!K:K,"COMPLEX D",JOURNAL!O:O,"SL")</f>
        <v>0</v>
      </c>
      <c r="BL83" s="291"/>
      <c r="BM83" s="55" t="s">
        <v>29</v>
      </c>
      <c r="BN83" s="48">
        <f>COUNTIFS(JOURNAL!F:F,"9",JOURNAL!K:K,"Multi",JOURNAL!O:O,"SL")</f>
        <v>0</v>
      </c>
      <c r="BO83" s="291"/>
      <c r="BP83" s="55" t="s">
        <v>29</v>
      </c>
      <c r="BQ83" s="48">
        <f>COUNTIFS(JOURNAL!F:F,"9",JOURNAL!K:K,"None",JOURNAL!O:O,"SL")</f>
        <v>0</v>
      </c>
      <c r="BR83" s="294"/>
      <c r="BS83" s="55" t="s">
        <v>29</v>
      </c>
      <c r="BT83" s="48">
        <f>COUNTIFS(JOURNAL!F:F,"9",JOURNAL!K:K,"Probably Setup",JOURNAL!O:O,"SL")</f>
        <v>0</v>
      </c>
    </row>
    <row r="84" spans="42:72" ht="17.25" customHeight="1" x14ac:dyDescent="0.25">
      <c r="AP84" s="299"/>
      <c r="AQ84" s="291"/>
      <c r="AR84" s="56" t="s">
        <v>32</v>
      </c>
      <c r="AS84" s="48">
        <f>COUNTIFS(JOURNAL!F:F,"9",JOURNAL!K:K,"2",JOURNAL!O:O,"RF")</f>
        <v>0</v>
      </c>
      <c r="AT84" s="291"/>
      <c r="AU84" s="56" t="s">
        <v>32</v>
      </c>
      <c r="AV84" s="48">
        <f>COUNTIFS(JOURNAL!F:F,"9",JOURNAL!K:K,"3",JOURNAL!O:O,"RF")</f>
        <v>0</v>
      </c>
      <c r="AW84" s="291"/>
      <c r="AX84" s="56" t="s">
        <v>32</v>
      </c>
      <c r="AY84" s="48">
        <f>COUNTIFS(JOURNAL!F:F,"9",JOURNAL!K:K,"4",JOURNAL!O:O,"RF")</f>
        <v>0</v>
      </c>
      <c r="AZ84" s="291"/>
      <c r="BA84" s="56" t="s">
        <v>32</v>
      </c>
      <c r="BB84" s="48">
        <f>COUNTIFS(JOURNAL!F:F,"9",JOURNAL!K:K,"30",JOURNAL!O:O,"RF")</f>
        <v>0</v>
      </c>
      <c r="BC84" s="291"/>
      <c r="BD84" s="56" t="s">
        <v>32</v>
      </c>
      <c r="BE84" s="48">
        <f>COUNTIFS(JOURNAL!F:F,"9",JOURNAL!K:K,"50",JOURNAL!O:O,"RF")</f>
        <v>0</v>
      </c>
      <c r="BF84" s="291"/>
      <c r="BG84" s="56" t="s">
        <v>32</v>
      </c>
      <c r="BH84" s="48">
        <f>COUNTIFS(JOURNAL!F:F,"9",JOURNAL!K:K,"COMPLEX H",JOURNAL!O:O,"RF")</f>
        <v>0</v>
      </c>
      <c r="BI84" s="291"/>
      <c r="BJ84" s="56" t="s">
        <v>32</v>
      </c>
      <c r="BK84" s="48">
        <f>COUNTIFS(JOURNAL!F:F,"9",JOURNAL!K:K,"COMPLEX D",JOURNAL!O:O,"RF")</f>
        <v>0</v>
      </c>
      <c r="BL84" s="291"/>
      <c r="BM84" s="56" t="s">
        <v>32</v>
      </c>
      <c r="BN84" s="48">
        <f>COUNTIFS(JOURNAL!F:F,"9",JOURNAL!K:K,"Multi",JOURNAL!O:O,"RF")</f>
        <v>0</v>
      </c>
      <c r="BO84" s="291"/>
      <c r="BP84" s="56" t="s">
        <v>32</v>
      </c>
      <c r="BQ84" s="48">
        <f>COUNTIFS(JOURNAL!F:F,"9",JOURNAL!K:K,"None",JOURNAL!O:O,"RF")</f>
        <v>0</v>
      </c>
      <c r="BR84" s="294"/>
      <c r="BS84" s="56" t="s">
        <v>32</v>
      </c>
      <c r="BT84" s="48">
        <f>COUNTIFS(JOURNAL!F:F,"9",JOURNAL!K:K,"Probably Setup",JOURNAL!O:O,"RF")</f>
        <v>0</v>
      </c>
    </row>
    <row r="85" spans="42:72" ht="16.5" customHeight="1" x14ac:dyDescent="0.25">
      <c r="AP85" s="299"/>
      <c r="AQ85" s="291"/>
      <c r="AR85" s="57" t="s">
        <v>30</v>
      </c>
      <c r="AS85" s="48">
        <f>COUNTIFS(JOURNAL!F:F,"9",JOURNAL!K:K,"2",JOURNAL!O:O,"PS")</f>
        <v>0</v>
      </c>
      <c r="AT85" s="291"/>
      <c r="AU85" s="57" t="s">
        <v>30</v>
      </c>
      <c r="AV85" s="48">
        <f>COUNTIFS(JOURNAL!F:F,"9",JOURNAL!K:K,"3",JOURNAL!O:O,"PS")</f>
        <v>0</v>
      </c>
      <c r="AW85" s="291"/>
      <c r="AX85" s="57" t="s">
        <v>30</v>
      </c>
      <c r="AY85" s="48">
        <f>COUNTIFS(JOURNAL!F:F,"9",JOURNAL!K:K,"4",JOURNAL!O:O,"PS")</f>
        <v>0</v>
      </c>
      <c r="AZ85" s="291"/>
      <c r="BA85" s="57" t="s">
        <v>30</v>
      </c>
      <c r="BB85" s="48">
        <f>COUNTIFS(JOURNAL!F:F,"9",JOURNAL!K:K,"30",JOURNAL!O:O,"PS")</f>
        <v>0</v>
      </c>
      <c r="BC85" s="291"/>
      <c r="BD85" s="57" t="s">
        <v>30</v>
      </c>
      <c r="BE85" s="48">
        <f>COUNTIFS(JOURNAL!F:F,"9",JOURNAL!K:K,"50",JOURNAL!O:O,"PS")</f>
        <v>0</v>
      </c>
      <c r="BF85" s="291"/>
      <c r="BG85" s="57" t="s">
        <v>30</v>
      </c>
      <c r="BH85" s="48">
        <f>COUNTIFS(JOURNAL!F:F,"9",JOURNAL!K:K,"COMPLEX H",JOURNAL!O:O,"PS")</f>
        <v>0</v>
      </c>
      <c r="BI85" s="291"/>
      <c r="BJ85" s="57" t="s">
        <v>30</v>
      </c>
      <c r="BK85" s="48">
        <f>COUNTIFS(JOURNAL!F:F,"9",JOURNAL!K:K,"COMPLEX D",JOURNAL!O:O,"PS")</f>
        <v>0</v>
      </c>
      <c r="BL85" s="291"/>
      <c r="BM85" s="57" t="s">
        <v>30</v>
      </c>
      <c r="BN85" s="48">
        <f>COUNTIFS(JOURNAL!F:F,"9",JOURNAL!K:K,"Multi",JOURNAL!O:O,"PS")</f>
        <v>0</v>
      </c>
      <c r="BO85" s="291"/>
      <c r="BP85" s="57" t="s">
        <v>30</v>
      </c>
      <c r="BQ85" s="48">
        <f>COUNTIFS(JOURNAL!F:F,"9",JOURNAL!K:K,"None",JOURNAL!O:O,"PS")</f>
        <v>0</v>
      </c>
      <c r="BR85" s="294"/>
      <c r="BS85" s="57" t="s">
        <v>30</v>
      </c>
      <c r="BT85" s="48">
        <f>COUNTIFS(JOURNAL!F:F,"9",JOURNAL!K:K,"Probably Setup",JOURNAL!O:O,"PS")</f>
        <v>0</v>
      </c>
    </row>
    <row r="86" spans="42:72" ht="15.75" x14ac:dyDescent="0.25">
      <c r="AP86" s="299"/>
      <c r="AQ86" s="291"/>
      <c r="AR86" s="58" t="s">
        <v>31</v>
      </c>
      <c r="AS86" s="48">
        <f>COUNTIFS(JOURNAL!F:F,"9",JOURNAL!K:K,"2",JOURNAL!O:O,"LS")</f>
        <v>0</v>
      </c>
      <c r="AT86" s="291"/>
      <c r="AU86" s="58" t="s">
        <v>31</v>
      </c>
      <c r="AV86" s="48">
        <f>COUNTIFS(JOURNAL!F:F,"9",JOURNAL!K:K,"3",JOURNAL!O:O,"LS")</f>
        <v>0</v>
      </c>
      <c r="AW86" s="291"/>
      <c r="AX86" s="58" t="s">
        <v>31</v>
      </c>
      <c r="AY86" s="48">
        <f>COUNTIFS(JOURNAL!F:F,"9",JOURNAL!K:K,"4",JOURNAL!O:O,"LS")</f>
        <v>0</v>
      </c>
      <c r="AZ86" s="291"/>
      <c r="BA86" s="58" t="s">
        <v>31</v>
      </c>
      <c r="BB86" s="48">
        <f>COUNTIFS(JOURNAL!F:F,"9",JOURNAL!K:K,"30",JOURNAL!O:O,"LS")</f>
        <v>0</v>
      </c>
      <c r="BC86" s="291"/>
      <c r="BD86" s="58" t="s">
        <v>31</v>
      </c>
      <c r="BE86" s="48">
        <f>COUNTIFS(JOURNAL!F:F,"9",JOURNAL!K:K,"50",JOURNAL!O:O,"LS")</f>
        <v>0</v>
      </c>
      <c r="BF86" s="291"/>
      <c r="BG86" s="58" t="s">
        <v>31</v>
      </c>
      <c r="BH86" s="48">
        <f>COUNTIFS(JOURNAL!F:F,"9",JOURNAL!K:K,"COMPLEX H",JOURNAL!O:O,"LS")</f>
        <v>0</v>
      </c>
      <c r="BI86" s="291"/>
      <c r="BJ86" s="58" t="s">
        <v>31</v>
      </c>
      <c r="BK86" s="48">
        <f>COUNTIFS(JOURNAL!F:F,"9",JOURNAL!K:K,"COMPLEX D",JOURNAL!O:O,"LS")</f>
        <v>0</v>
      </c>
      <c r="BL86" s="291"/>
      <c r="BM86" s="58" t="s">
        <v>31</v>
      </c>
      <c r="BN86" s="48">
        <f>COUNTIFS(JOURNAL!F:F,"9",JOURNAL!K:K,"Multi",JOURNAL!O:O,"LS")</f>
        <v>0</v>
      </c>
      <c r="BO86" s="291"/>
      <c r="BP86" s="58" t="s">
        <v>31</v>
      </c>
      <c r="BQ86" s="48">
        <f>COUNTIFS(JOURNAL!F:F,"9",JOURNAL!K:K,"None",JOURNAL!O:O,"LS")</f>
        <v>0</v>
      </c>
      <c r="BR86" s="294"/>
      <c r="BS86" s="58" t="s">
        <v>31</v>
      </c>
      <c r="BT86" s="48">
        <f>COUNTIFS(JOURNAL!F:F,"9",JOURNAL!K:K,"Probably Setup",JOURNAL!O:O,"LS")</f>
        <v>0</v>
      </c>
    </row>
    <row r="87" spans="42:72" ht="15.75" x14ac:dyDescent="0.25">
      <c r="AP87" s="299"/>
      <c r="AQ87" s="291"/>
      <c r="AR87" s="59" t="s">
        <v>33</v>
      </c>
      <c r="AS87" s="48">
        <f>COUNTIFS(JOURNAL!F:F,"9",JOURNAL!K:K,"2",JOURNAL!O:O,"OT +")</f>
        <v>0</v>
      </c>
      <c r="AT87" s="291"/>
      <c r="AU87" s="59" t="s">
        <v>33</v>
      </c>
      <c r="AV87" s="48">
        <f>COUNTIFS(JOURNAL!F:F,"9",JOURNAL!K:K,"3",JOURNAL!O:O,"OT +")</f>
        <v>0</v>
      </c>
      <c r="AW87" s="291"/>
      <c r="AX87" s="59" t="s">
        <v>33</v>
      </c>
      <c r="AY87" s="48">
        <f>COUNTIFS(JOURNAL!F:F,"9",JOURNAL!K:K,"4",JOURNAL!O:O,"OT +")</f>
        <v>0</v>
      </c>
      <c r="AZ87" s="291"/>
      <c r="BA87" s="59" t="s">
        <v>33</v>
      </c>
      <c r="BB87" s="48">
        <f>COUNTIFS(JOURNAL!F:F,"9",JOURNAL!K:K,"30",JOURNAL!O:O,"OT +")</f>
        <v>0</v>
      </c>
      <c r="BC87" s="291"/>
      <c r="BD87" s="59" t="s">
        <v>33</v>
      </c>
      <c r="BE87" s="48">
        <f>COUNTIFS(JOURNAL!F:F,"9",JOURNAL!K:K,"50",JOURNAL!O:O,"OT +")</f>
        <v>0</v>
      </c>
      <c r="BF87" s="291"/>
      <c r="BG87" s="59" t="s">
        <v>33</v>
      </c>
      <c r="BH87" s="48">
        <f>COUNTIFS(JOURNAL!F:F,"9",JOURNAL!K:K,"COMPLEX H",JOURNAL!O:O,"OT +")</f>
        <v>0</v>
      </c>
      <c r="BI87" s="291"/>
      <c r="BJ87" s="59" t="s">
        <v>33</v>
      </c>
      <c r="BK87" s="48">
        <f>COUNTIFS(JOURNAL!F:F,"9",JOURNAL!K:K,"COMPLEX D",JOURNAL!O:O,"OT +")</f>
        <v>0</v>
      </c>
      <c r="BL87" s="291"/>
      <c r="BM87" s="59" t="s">
        <v>33</v>
      </c>
      <c r="BN87" s="48">
        <f>COUNTIFS(JOURNAL!F:F,"9",JOURNAL!K:K,"Multi",JOURNAL!O:O,"OT +")</f>
        <v>0</v>
      </c>
      <c r="BO87" s="291"/>
      <c r="BP87" s="59" t="s">
        <v>33</v>
      </c>
      <c r="BQ87" s="48">
        <f>COUNTIFS(JOURNAL!F:F,"9",JOURNAL!K:K,"None",JOURNAL!O:O,"OT +")</f>
        <v>0</v>
      </c>
      <c r="BR87" s="294"/>
      <c r="BS87" s="59" t="s">
        <v>33</v>
      </c>
      <c r="BT87" s="48">
        <f>COUNTIFS(JOURNAL!F:F,"9",JOURNAL!K:K,"Probably Setup",JOURNAL!O:O,"OT +")</f>
        <v>0</v>
      </c>
    </row>
    <row r="88" spans="42:72" ht="15.75" x14ac:dyDescent="0.25">
      <c r="AP88" s="299"/>
      <c r="AQ88" s="291"/>
      <c r="AR88" s="60" t="s">
        <v>34</v>
      </c>
      <c r="AS88" s="48">
        <f>COUNTIFS(JOURNAL!F:F,"9",JOURNAL!K:K,"2",JOURNAL!O:O,"OT -")</f>
        <v>0</v>
      </c>
      <c r="AT88" s="291"/>
      <c r="AU88" s="60" t="s">
        <v>34</v>
      </c>
      <c r="AV88" s="48">
        <f>COUNTIFS(JOURNAL!F:F,"9",JOURNAL!K:K,"3",JOURNAL!O:O,"OT -")</f>
        <v>0</v>
      </c>
      <c r="AW88" s="291"/>
      <c r="AX88" s="60" t="s">
        <v>34</v>
      </c>
      <c r="AY88" s="48">
        <f>COUNTIFS(JOURNAL!F:F,"9",JOURNAL!K:K,"4",JOURNAL!O:O,"OT -")</f>
        <v>0</v>
      </c>
      <c r="AZ88" s="291"/>
      <c r="BA88" s="60" t="s">
        <v>34</v>
      </c>
      <c r="BB88" s="48">
        <f>COUNTIFS(JOURNAL!F:F,"9",JOURNAL!K:K,"30",JOURNAL!O:O,"OT -")</f>
        <v>0</v>
      </c>
      <c r="BC88" s="291"/>
      <c r="BD88" s="60" t="s">
        <v>34</v>
      </c>
      <c r="BE88" s="48">
        <f>COUNTIFS(JOURNAL!F:F,"9",JOURNAL!K:K,"50",JOURNAL!O:O,"OT -")</f>
        <v>0</v>
      </c>
      <c r="BF88" s="291"/>
      <c r="BG88" s="60" t="s">
        <v>34</v>
      </c>
      <c r="BH88" s="48">
        <f>COUNTIFS(JOURNAL!F:F,"9",JOURNAL!K:K,"COMPLEX H",JOURNAL!O:O,"OT -")</f>
        <v>0</v>
      </c>
      <c r="BI88" s="291"/>
      <c r="BJ88" s="60" t="s">
        <v>34</v>
      </c>
      <c r="BK88" s="48">
        <f>COUNTIFS(JOURNAL!F:F,"9",JOURNAL!K:K,"COMPLEX D",JOURNAL!O:O,"OT -")</f>
        <v>0</v>
      </c>
      <c r="BL88" s="291"/>
      <c r="BM88" s="60" t="s">
        <v>34</v>
      </c>
      <c r="BN88" s="48">
        <f>COUNTIFS(JOURNAL!F:F,"9",JOURNAL!K:K,"Multi",JOURNAL!O:O,"OT -")</f>
        <v>0</v>
      </c>
      <c r="BO88" s="291"/>
      <c r="BP88" s="60" t="s">
        <v>34</v>
      </c>
      <c r="BQ88" s="48">
        <f>COUNTIFS(JOURNAL!F:F,"9",JOURNAL!K:K,"None",JOURNAL!O:O,"OT -")</f>
        <v>0</v>
      </c>
      <c r="BR88" s="294"/>
      <c r="BS88" s="60" t="s">
        <v>34</v>
      </c>
      <c r="BT88" s="48">
        <f>COUNTIFS(JOURNAL!F:F,"9",JOURNAL!K:K,"Probably Setup",JOURNAL!O:O,"OT -")</f>
        <v>0</v>
      </c>
    </row>
    <row r="89" spans="42:72" ht="17.25" customHeight="1" x14ac:dyDescent="0.25">
      <c r="AP89" s="299"/>
      <c r="AQ89" s="291"/>
      <c r="AR89" s="146" t="s">
        <v>115</v>
      </c>
      <c r="AS89" s="48">
        <f>SUM(AS82:AS88)</f>
        <v>0</v>
      </c>
      <c r="AT89" s="291"/>
      <c r="AU89" s="146" t="s">
        <v>115</v>
      </c>
      <c r="AV89" s="48">
        <f>SUM(AV82:AV88)</f>
        <v>0</v>
      </c>
      <c r="AW89" s="291"/>
      <c r="AX89" s="146" t="s">
        <v>115</v>
      </c>
      <c r="AY89" s="48">
        <f>SUM(AY82:AY88)</f>
        <v>0</v>
      </c>
      <c r="AZ89" s="291"/>
      <c r="BA89" s="146" t="s">
        <v>115</v>
      </c>
      <c r="BB89" s="48">
        <f>SUM(BB82:BB88)</f>
        <v>0</v>
      </c>
      <c r="BC89" s="291"/>
      <c r="BD89" s="146" t="s">
        <v>115</v>
      </c>
      <c r="BE89" s="48">
        <f>SUM(BE82:BE88)</f>
        <v>0</v>
      </c>
      <c r="BF89" s="291"/>
      <c r="BG89" s="146" t="s">
        <v>115</v>
      </c>
      <c r="BH89" s="48">
        <f>SUM(BH82:BH88)</f>
        <v>0</v>
      </c>
      <c r="BI89" s="291"/>
      <c r="BJ89" s="146" t="s">
        <v>115</v>
      </c>
      <c r="BK89" s="48">
        <f>SUM(BK82:BK88)</f>
        <v>0</v>
      </c>
      <c r="BL89" s="291"/>
      <c r="BM89" s="146" t="s">
        <v>115</v>
      </c>
      <c r="BN89" s="48">
        <f>SUM(BN82:BN88)</f>
        <v>0</v>
      </c>
      <c r="BO89" s="291"/>
      <c r="BP89" s="146" t="s">
        <v>115</v>
      </c>
      <c r="BQ89" s="48">
        <f>SUM(BQ82:BQ88)</f>
        <v>0</v>
      </c>
      <c r="BR89" s="294"/>
      <c r="BS89" s="146" t="s">
        <v>115</v>
      </c>
      <c r="BT89" s="48">
        <f>SUM(BT82:BT88)</f>
        <v>0</v>
      </c>
    </row>
    <row r="90" spans="42:72" ht="19.5" customHeight="1" x14ac:dyDescent="0.25">
      <c r="AP90" s="299"/>
      <c r="AQ90" s="292"/>
      <c r="AR90" s="191" t="s">
        <v>44</v>
      </c>
      <c r="AS90" s="48" t="e">
        <f>SUM(AS82,AS84,AS85,AS87)/AS89</f>
        <v>#DIV/0!</v>
      </c>
      <c r="AT90" s="292"/>
      <c r="AU90" s="191" t="s">
        <v>44</v>
      </c>
      <c r="AV90" s="48" t="e">
        <f>SUM(AV82,AV84,AV85,AV87)/AV89</f>
        <v>#DIV/0!</v>
      </c>
      <c r="AW90" s="292"/>
      <c r="AX90" s="191" t="s">
        <v>44</v>
      </c>
      <c r="AY90" s="48" t="e">
        <f>SUM(AY82,AY84,AY85,AY87)/AY89</f>
        <v>#DIV/0!</v>
      </c>
      <c r="AZ90" s="292"/>
      <c r="BA90" s="191" t="s">
        <v>44</v>
      </c>
      <c r="BB90" s="48" t="e">
        <f>SUM(BB82,BB84,BB85,BB87)/BB89</f>
        <v>#DIV/0!</v>
      </c>
      <c r="BC90" s="292"/>
      <c r="BD90" s="191" t="s">
        <v>44</v>
      </c>
      <c r="BE90" s="48" t="e">
        <f>SUM(BE82,BE84,BE85,BE87)/BE89</f>
        <v>#DIV/0!</v>
      </c>
      <c r="BF90" s="292"/>
      <c r="BG90" s="191" t="s">
        <v>44</v>
      </c>
      <c r="BH90" s="48" t="e">
        <f>SUM(BH82,BH84,BH85,BH87)/BH89</f>
        <v>#DIV/0!</v>
      </c>
      <c r="BI90" s="292"/>
      <c r="BJ90" s="191" t="s">
        <v>44</v>
      </c>
      <c r="BK90" s="48" t="e">
        <f>SUM(BK82,BK84,BK85,BK87)/BK89</f>
        <v>#DIV/0!</v>
      </c>
      <c r="BL90" s="292"/>
      <c r="BM90" s="191" t="s">
        <v>44</v>
      </c>
      <c r="BN90" s="48" t="e">
        <f>SUM(BN82,BN84,BN85,BN87)/BN89</f>
        <v>#DIV/0!</v>
      </c>
      <c r="BO90" s="292"/>
      <c r="BP90" s="191" t="s">
        <v>44</v>
      </c>
      <c r="BQ90" s="48" t="e">
        <f>SUM(BQ82,BQ84,BQ85,BQ87)/BQ89</f>
        <v>#DIV/0!</v>
      </c>
      <c r="BR90" s="295"/>
      <c r="BS90" s="191" t="s">
        <v>44</v>
      </c>
      <c r="BT90" s="48" t="e">
        <f>SUM(BT82,BT84,BT85,BT87)/BT89</f>
        <v>#DIV/0!</v>
      </c>
    </row>
    <row r="92" spans="42:72" ht="20.25" customHeight="1" x14ac:dyDescent="0.25">
      <c r="AP92" s="299" t="s">
        <v>77</v>
      </c>
      <c r="AQ92" s="290" t="s">
        <v>161</v>
      </c>
      <c r="AR92" s="54" t="s">
        <v>27</v>
      </c>
      <c r="AS92" s="48">
        <f>COUNTIFS(JOURNAL!F:F,"10",JOURNAL!K:K,"2",JOURNAL!O:O,"TP")</f>
        <v>0</v>
      </c>
      <c r="AT92" s="290" t="s">
        <v>162</v>
      </c>
      <c r="AU92" s="54" t="s">
        <v>27</v>
      </c>
      <c r="AV92" s="48">
        <f>COUNTIFS(JOURNAL!F:F,"10",JOURNAL!K:K,"3",JOURNAL!O:O,"TP")</f>
        <v>0</v>
      </c>
      <c r="AW92" s="290" t="s">
        <v>163</v>
      </c>
      <c r="AX92" s="54" t="s">
        <v>27</v>
      </c>
      <c r="AY92" s="48">
        <f>COUNTIFS(JOURNAL!F:F,"10",JOURNAL!K:K,"4",JOURNAL!O:O,"TP")</f>
        <v>0</v>
      </c>
      <c r="AZ92" s="290" t="s">
        <v>164</v>
      </c>
      <c r="BA92" s="54" t="s">
        <v>27</v>
      </c>
      <c r="BB92" s="48">
        <f>COUNTIFS(JOURNAL!F:F,"10",JOURNAL!K:K,"30",JOURNAL!O:O,"TP")</f>
        <v>0</v>
      </c>
      <c r="BC92" s="290" t="s">
        <v>165</v>
      </c>
      <c r="BD92" s="54" t="s">
        <v>27</v>
      </c>
      <c r="BE92" s="48">
        <f>COUNTIFS(JOURNAL!F:F,"10",JOURNAL!K:K,"50",JOURNAL!O:O,"TP")</f>
        <v>0</v>
      </c>
      <c r="BF92" s="290" t="s">
        <v>156</v>
      </c>
      <c r="BG92" s="54" t="s">
        <v>27</v>
      </c>
      <c r="BH92" s="48">
        <f>COUNTIFS(JOURNAL!F:F,"10",JOURNAL!K:K,"COMPLEX H",JOURNAL!O:O,"TP")</f>
        <v>0</v>
      </c>
      <c r="BI92" s="290" t="s">
        <v>66</v>
      </c>
      <c r="BJ92" s="54" t="s">
        <v>27</v>
      </c>
      <c r="BK92" s="48">
        <f>COUNTIFS(JOURNAL!F:F,"10",JOURNAL!K:K,"COMPLEX D",JOURNAL!O:O,"TP")</f>
        <v>0</v>
      </c>
      <c r="BL92" s="290" t="s">
        <v>152</v>
      </c>
      <c r="BM92" s="54" t="s">
        <v>27</v>
      </c>
      <c r="BN92" s="48">
        <f>COUNTIFS(JOURNAL!F:F,"10",JOURNAL!K:K,"Multi",JOURNAL!O:O,"TP")</f>
        <v>0</v>
      </c>
      <c r="BO92" s="290" t="s">
        <v>171</v>
      </c>
      <c r="BP92" s="54" t="s">
        <v>27</v>
      </c>
      <c r="BQ92" s="48">
        <f>COUNTIFS(JOURNAL!F:F,"10",JOURNAL!K:K,"None",JOURNAL!O:O,"TP")</f>
        <v>0</v>
      </c>
      <c r="BR92" s="293" t="s">
        <v>172</v>
      </c>
      <c r="BS92" s="54" t="s">
        <v>27</v>
      </c>
      <c r="BT92" s="48">
        <f>COUNTIFS(JOURNAL!F:F,"10",JOURNAL!K:K,"Probably Setup",JOURNAL!O:O,"TP")</f>
        <v>0</v>
      </c>
    </row>
    <row r="93" spans="42:72" ht="19.5" customHeight="1" x14ac:dyDescent="0.25">
      <c r="AP93" s="299"/>
      <c r="AQ93" s="291"/>
      <c r="AR93" s="55" t="s">
        <v>29</v>
      </c>
      <c r="AS93" s="48">
        <f>COUNTIFS(JOURNAL!F:F,"10",JOURNAL!K:K,"2",JOURNAL!O:O,"SL")</f>
        <v>0</v>
      </c>
      <c r="AT93" s="291"/>
      <c r="AU93" s="55" t="s">
        <v>29</v>
      </c>
      <c r="AV93" s="48">
        <f>COUNTIFS(JOURNAL!F:F,"10",JOURNAL!K:K,"3",JOURNAL!O:O,"SL")</f>
        <v>0</v>
      </c>
      <c r="AW93" s="291"/>
      <c r="AX93" s="55" t="s">
        <v>29</v>
      </c>
      <c r="AY93" s="48">
        <f>COUNTIFS(JOURNAL!F:F,"10",JOURNAL!K:K,"4",JOURNAL!O:O,"SL")</f>
        <v>0</v>
      </c>
      <c r="AZ93" s="291"/>
      <c r="BA93" s="55" t="s">
        <v>29</v>
      </c>
      <c r="BB93" s="48">
        <f>COUNTIFS(JOURNAL!F:F,"10",JOURNAL!K:K,"30",JOURNAL!O:O,"SL")</f>
        <v>0</v>
      </c>
      <c r="BC93" s="291"/>
      <c r="BD93" s="55" t="s">
        <v>29</v>
      </c>
      <c r="BE93" s="48">
        <f>COUNTIFS(JOURNAL!F:F,"10",JOURNAL!K:K,"50",JOURNAL!O:O,"SL")</f>
        <v>0</v>
      </c>
      <c r="BF93" s="291"/>
      <c r="BG93" s="55" t="s">
        <v>29</v>
      </c>
      <c r="BH93" s="48">
        <f>COUNTIFS(JOURNAL!F:F,"10",JOURNAL!K:K,"COMPLEX H",JOURNAL!O:O,"SL")</f>
        <v>0</v>
      </c>
      <c r="BI93" s="291"/>
      <c r="BJ93" s="55" t="s">
        <v>29</v>
      </c>
      <c r="BK93" s="48">
        <f>COUNTIFS(JOURNAL!F:F,"10",JOURNAL!K:K,"COMPLEX D",JOURNAL!O:O,"SL")</f>
        <v>0</v>
      </c>
      <c r="BL93" s="291"/>
      <c r="BM93" s="55" t="s">
        <v>29</v>
      </c>
      <c r="BN93" s="48">
        <f>COUNTIFS(JOURNAL!F:F,"10",JOURNAL!K:K,"Multi",JOURNAL!O:O,"SL")</f>
        <v>0</v>
      </c>
      <c r="BO93" s="291"/>
      <c r="BP93" s="55" t="s">
        <v>29</v>
      </c>
      <c r="BQ93" s="48">
        <f>COUNTIFS(JOURNAL!F:F,"10",JOURNAL!K:K,"None",JOURNAL!O:O,"SL")</f>
        <v>0</v>
      </c>
      <c r="BR93" s="294"/>
      <c r="BS93" s="55" t="s">
        <v>29</v>
      </c>
      <c r="BT93" s="48">
        <f>COUNTIFS(JOURNAL!F:F,"10",JOURNAL!K:K,"Probably Setup",JOURNAL!O:O,"SL")</f>
        <v>0</v>
      </c>
    </row>
    <row r="94" spans="42:72" ht="16.5" customHeight="1" x14ac:dyDescent="0.25">
      <c r="AP94" s="299"/>
      <c r="AQ94" s="291"/>
      <c r="AR94" s="56" t="s">
        <v>32</v>
      </c>
      <c r="AS94" s="48">
        <f>COUNTIFS(JOURNAL!F:F,"10",JOURNAL!K:K,"2",JOURNAL!O:O,"RF")</f>
        <v>0</v>
      </c>
      <c r="AT94" s="291"/>
      <c r="AU94" s="56" t="s">
        <v>32</v>
      </c>
      <c r="AV94" s="48">
        <f>COUNTIFS(JOURNAL!F:F,"10",JOURNAL!K:K,"3",JOURNAL!O:O,"RF")</f>
        <v>0</v>
      </c>
      <c r="AW94" s="291"/>
      <c r="AX94" s="56" t="s">
        <v>32</v>
      </c>
      <c r="AY94" s="48">
        <f>COUNTIFS(JOURNAL!F:F,"10",JOURNAL!K:K,"4",JOURNAL!O:O,"RF")</f>
        <v>0</v>
      </c>
      <c r="AZ94" s="291"/>
      <c r="BA94" s="56" t="s">
        <v>32</v>
      </c>
      <c r="BB94" s="48">
        <f>COUNTIFS(JOURNAL!F:F,"10",JOURNAL!K:K,"30",JOURNAL!O:O,"RF")</f>
        <v>0</v>
      </c>
      <c r="BC94" s="291"/>
      <c r="BD94" s="56" t="s">
        <v>32</v>
      </c>
      <c r="BE94" s="48">
        <f>COUNTIFS(JOURNAL!F:F,"10",JOURNAL!K:K,"50",JOURNAL!O:O,"RF")</f>
        <v>0</v>
      </c>
      <c r="BF94" s="291"/>
      <c r="BG94" s="56" t="s">
        <v>32</v>
      </c>
      <c r="BH94" s="48">
        <f>COUNTIFS(JOURNAL!F:F,"10",JOURNAL!K:K,"COMPLEX H",JOURNAL!O:O,"RF")</f>
        <v>0</v>
      </c>
      <c r="BI94" s="291"/>
      <c r="BJ94" s="56" t="s">
        <v>32</v>
      </c>
      <c r="BK94" s="48">
        <f>COUNTIFS(JOURNAL!F:F,"10",JOURNAL!K:K,"COMPLEX D",JOURNAL!O:O,"RF")</f>
        <v>0</v>
      </c>
      <c r="BL94" s="291"/>
      <c r="BM94" s="56" t="s">
        <v>32</v>
      </c>
      <c r="BN94" s="48">
        <f>COUNTIFS(JOURNAL!F:F,"10",JOURNAL!K:K,"Multi",JOURNAL!O:O,"RF")</f>
        <v>0</v>
      </c>
      <c r="BO94" s="291"/>
      <c r="BP94" s="56" t="s">
        <v>32</v>
      </c>
      <c r="BQ94" s="48">
        <f>COUNTIFS(JOURNAL!F:F,"10",JOURNAL!K:K,"None",JOURNAL!O:O,"RF")</f>
        <v>0</v>
      </c>
      <c r="BR94" s="294"/>
      <c r="BS94" s="56" t="s">
        <v>32</v>
      </c>
      <c r="BT94" s="48">
        <f>COUNTIFS(JOURNAL!F:F,"10",JOURNAL!K:K,"Probably Setup",JOURNAL!O:O,"RF")</f>
        <v>0</v>
      </c>
    </row>
    <row r="95" spans="42:72" ht="20.25" customHeight="1" x14ac:dyDescent="0.25">
      <c r="AP95" s="299"/>
      <c r="AQ95" s="291"/>
      <c r="AR95" s="57" t="s">
        <v>30</v>
      </c>
      <c r="AS95" s="48">
        <f>COUNTIFS(JOURNAL!F:F,"10",JOURNAL!K:K,"2",JOURNAL!O:O,"PS")</f>
        <v>0</v>
      </c>
      <c r="AT95" s="291"/>
      <c r="AU95" s="57" t="s">
        <v>30</v>
      </c>
      <c r="AV95" s="48">
        <f>COUNTIFS(JOURNAL!F:F,"10",JOURNAL!K:K,"3",JOURNAL!O:O,"PS")</f>
        <v>0</v>
      </c>
      <c r="AW95" s="291"/>
      <c r="AX95" s="57" t="s">
        <v>30</v>
      </c>
      <c r="AY95" s="48">
        <f>COUNTIFS(JOURNAL!F:F,"10",JOURNAL!K:K,"4",JOURNAL!O:O,"PS")</f>
        <v>0</v>
      </c>
      <c r="AZ95" s="291"/>
      <c r="BA95" s="57" t="s">
        <v>30</v>
      </c>
      <c r="BB95" s="48">
        <f>COUNTIFS(JOURNAL!F:F,"10",JOURNAL!K:K,"30",JOURNAL!O:O,"PS")</f>
        <v>0</v>
      </c>
      <c r="BC95" s="291"/>
      <c r="BD95" s="57" t="s">
        <v>30</v>
      </c>
      <c r="BE95" s="48">
        <f>COUNTIFS(JOURNAL!F:F,"10",JOURNAL!K:K,"50",JOURNAL!O:O,"PS")</f>
        <v>0</v>
      </c>
      <c r="BF95" s="291"/>
      <c r="BG95" s="57" t="s">
        <v>30</v>
      </c>
      <c r="BH95" s="48">
        <f>COUNTIFS(JOURNAL!F:F,"10",JOURNAL!K:K,"COMPLEX H",JOURNAL!O:O,"PS")</f>
        <v>0</v>
      </c>
      <c r="BI95" s="291"/>
      <c r="BJ95" s="57" t="s">
        <v>30</v>
      </c>
      <c r="BK95" s="48">
        <f>COUNTIFS(JOURNAL!F:F,"10",JOURNAL!K:K,"COMPLEX D",JOURNAL!O:O,"PS")</f>
        <v>0</v>
      </c>
      <c r="BL95" s="291"/>
      <c r="BM95" s="57" t="s">
        <v>30</v>
      </c>
      <c r="BN95" s="48">
        <f>COUNTIFS(JOURNAL!F:F,"10",JOURNAL!K:K,"Multi",JOURNAL!O:O,"PS")</f>
        <v>0</v>
      </c>
      <c r="BO95" s="291"/>
      <c r="BP95" s="57" t="s">
        <v>30</v>
      </c>
      <c r="BQ95" s="48">
        <f>COUNTIFS(JOURNAL!F:F,"10",JOURNAL!K:K,"None",JOURNAL!O:O,"PS")</f>
        <v>0</v>
      </c>
      <c r="BR95" s="294"/>
      <c r="BS95" s="57" t="s">
        <v>30</v>
      </c>
      <c r="BT95" s="48">
        <f>COUNTIFS(JOURNAL!F:F,"10",JOURNAL!K:K,"Probably Setup",JOURNAL!O:O,"PS")</f>
        <v>0</v>
      </c>
    </row>
    <row r="96" spans="42:72" ht="15.75" x14ac:dyDescent="0.25">
      <c r="AP96" s="299"/>
      <c r="AQ96" s="291"/>
      <c r="AR96" s="58" t="s">
        <v>31</v>
      </c>
      <c r="AS96" s="48">
        <f>COUNTIFS(JOURNAL!F:F,"10",JOURNAL!K:K,"2",JOURNAL!O:O,"LS")</f>
        <v>0</v>
      </c>
      <c r="AT96" s="291"/>
      <c r="AU96" s="58" t="s">
        <v>31</v>
      </c>
      <c r="AV96" s="48">
        <f>COUNTIFS(JOURNAL!F:F,"10",JOURNAL!K:K,"3",JOURNAL!O:O,"LS")</f>
        <v>0</v>
      </c>
      <c r="AW96" s="291"/>
      <c r="AX96" s="58" t="s">
        <v>31</v>
      </c>
      <c r="AY96" s="48">
        <f>COUNTIFS(JOURNAL!F:F,"10",JOURNAL!K:K,"4",JOURNAL!O:O,"LS")</f>
        <v>0</v>
      </c>
      <c r="AZ96" s="291"/>
      <c r="BA96" s="58" t="s">
        <v>31</v>
      </c>
      <c r="BB96" s="48">
        <f>COUNTIFS(JOURNAL!F:F,"10",JOURNAL!K:K,"30",JOURNAL!O:O,"LS")</f>
        <v>0</v>
      </c>
      <c r="BC96" s="291"/>
      <c r="BD96" s="58" t="s">
        <v>31</v>
      </c>
      <c r="BE96" s="48">
        <f>COUNTIFS(JOURNAL!F:F,"10",JOURNAL!K:K,"50",JOURNAL!O:O,"LS")</f>
        <v>0</v>
      </c>
      <c r="BF96" s="291"/>
      <c r="BG96" s="58" t="s">
        <v>31</v>
      </c>
      <c r="BH96" s="48">
        <f>COUNTIFS(JOURNAL!F:F,"10",JOURNAL!K:K,"COMPLEX H",JOURNAL!O:O,"LS")</f>
        <v>0</v>
      </c>
      <c r="BI96" s="291"/>
      <c r="BJ96" s="58" t="s">
        <v>31</v>
      </c>
      <c r="BK96" s="48">
        <f>COUNTIFS(JOURNAL!F:F,"10",JOURNAL!K:K,"COMPLEX D",JOURNAL!O:O,"LS")</f>
        <v>0</v>
      </c>
      <c r="BL96" s="291"/>
      <c r="BM96" s="58" t="s">
        <v>31</v>
      </c>
      <c r="BN96" s="48">
        <f>COUNTIFS(JOURNAL!F:F,"10",JOURNAL!K:K,"Multi",JOURNAL!O:O,"LS")</f>
        <v>0</v>
      </c>
      <c r="BO96" s="291"/>
      <c r="BP96" s="58" t="s">
        <v>31</v>
      </c>
      <c r="BQ96" s="48">
        <f>COUNTIFS(JOURNAL!F:F,"10",JOURNAL!K:K,"None",JOURNAL!O:O,"LS")</f>
        <v>0</v>
      </c>
      <c r="BR96" s="294"/>
      <c r="BS96" s="58" t="s">
        <v>31</v>
      </c>
      <c r="BT96" s="48">
        <f>COUNTIFS(JOURNAL!F:F,"10",JOURNAL!K:K,"Probably Setup",JOURNAL!O:O,"LS")</f>
        <v>0</v>
      </c>
    </row>
    <row r="97" spans="42:72" ht="15.75" x14ac:dyDescent="0.25">
      <c r="AP97" s="299"/>
      <c r="AQ97" s="291"/>
      <c r="AR97" s="59" t="s">
        <v>33</v>
      </c>
      <c r="AS97" s="48">
        <f>COUNTIFS(JOURNAL!F:F,"10",JOURNAL!K:K,"2",JOURNAL!O:O,"OT +")</f>
        <v>0</v>
      </c>
      <c r="AT97" s="291"/>
      <c r="AU97" s="59" t="s">
        <v>33</v>
      </c>
      <c r="AV97" s="48">
        <f>COUNTIFS(JOURNAL!F:F,"10",JOURNAL!K:K,"3",JOURNAL!O:O,"OT +")</f>
        <v>0</v>
      </c>
      <c r="AW97" s="291"/>
      <c r="AX97" s="59" t="s">
        <v>33</v>
      </c>
      <c r="AY97" s="48">
        <f>COUNTIFS(JOURNAL!F:F,"10",JOURNAL!K:K,"4",JOURNAL!O:O,"OT +")</f>
        <v>0</v>
      </c>
      <c r="AZ97" s="291"/>
      <c r="BA97" s="59" t="s">
        <v>33</v>
      </c>
      <c r="BB97" s="48">
        <f>COUNTIFS(JOURNAL!F:F,"10",JOURNAL!K:K,"30",JOURNAL!O:O,"OT +")</f>
        <v>0</v>
      </c>
      <c r="BC97" s="291"/>
      <c r="BD97" s="59" t="s">
        <v>33</v>
      </c>
      <c r="BE97" s="48">
        <f>COUNTIFS(JOURNAL!F:F,"10",JOURNAL!K:K,"50",JOURNAL!O:O,"OT +")</f>
        <v>0</v>
      </c>
      <c r="BF97" s="291"/>
      <c r="BG97" s="59" t="s">
        <v>33</v>
      </c>
      <c r="BH97" s="48">
        <f>COUNTIFS(JOURNAL!F:F,"10",JOURNAL!K:K,"COMPLEX H",JOURNAL!O:O,"OT +")</f>
        <v>0</v>
      </c>
      <c r="BI97" s="291"/>
      <c r="BJ97" s="59" t="s">
        <v>33</v>
      </c>
      <c r="BK97" s="48">
        <f>COUNTIFS(JOURNAL!F:F,"10",JOURNAL!K:K,"COMPLEX D",JOURNAL!O:O,"OT +")</f>
        <v>0</v>
      </c>
      <c r="BL97" s="291"/>
      <c r="BM97" s="59" t="s">
        <v>33</v>
      </c>
      <c r="BN97" s="48">
        <f>COUNTIFS(JOURNAL!F:F,"10",JOURNAL!K:K,"Multi",JOURNAL!O:O,"OT +")</f>
        <v>0</v>
      </c>
      <c r="BO97" s="291"/>
      <c r="BP97" s="59" t="s">
        <v>33</v>
      </c>
      <c r="BQ97" s="48">
        <f>COUNTIFS(JOURNAL!F:F,"10",JOURNAL!K:K,"None",JOURNAL!O:O,"OT +")</f>
        <v>0</v>
      </c>
      <c r="BR97" s="294"/>
      <c r="BS97" s="59" t="s">
        <v>33</v>
      </c>
      <c r="BT97" s="48">
        <f>COUNTIFS(JOURNAL!F:F,"10",JOURNAL!K:K,"Probably Setup",JOURNAL!O:O,"OT +")</f>
        <v>0</v>
      </c>
    </row>
    <row r="98" spans="42:72" ht="15.75" x14ac:dyDescent="0.25">
      <c r="AP98" s="299"/>
      <c r="AQ98" s="291"/>
      <c r="AR98" s="60" t="s">
        <v>34</v>
      </c>
      <c r="AS98" s="48">
        <f>COUNTIFS(JOURNAL!F:F,"10",JOURNAL!K:K,"2",JOURNAL!O:O,"OT -")</f>
        <v>0</v>
      </c>
      <c r="AT98" s="291"/>
      <c r="AU98" s="60" t="s">
        <v>34</v>
      </c>
      <c r="AV98" s="48">
        <f>COUNTIFS(JOURNAL!F:F,"10",JOURNAL!K:K,"3",JOURNAL!O:O,"OT -")</f>
        <v>0</v>
      </c>
      <c r="AW98" s="291"/>
      <c r="AX98" s="60" t="s">
        <v>34</v>
      </c>
      <c r="AY98" s="48">
        <f>COUNTIFS(JOURNAL!F:F,"10",JOURNAL!K:K,"4",JOURNAL!O:O,"OT -")</f>
        <v>0</v>
      </c>
      <c r="AZ98" s="291"/>
      <c r="BA98" s="60" t="s">
        <v>34</v>
      </c>
      <c r="BB98" s="48">
        <f>COUNTIFS(JOURNAL!F:F,"10",JOURNAL!K:K,"30",JOURNAL!O:O,"OT -")</f>
        <v>0</v>
      </c>
      <c r="BC98" s="291"/>
      <c r="BD98" s="60" t="s">
        <v>34</v>
      </c>
      <c r="BE98" s="48">
        <f>COUNTIFS(JOURNAL!F:F,"10",JOURNAL!K:K,"50",JOURNAL!O:O,"OT -")</f>
        <v>0</v>
      </c>
      <c r="BF98" s="291"/>
      <c r="BG98" s="60" t="s">
        <v>34</v>
      </c>
      <c r="BH98" s="48">
        <f>COUNTIFS(JOURNAL!F:F,"10",JOURNAL!K:K,"COMPLEX H",JOURNAL!O:O,"OT -")</f>
        <v>0</v>
      </c>
      <c r="BI98" s="291"/>
      <c r="BJ98" s="60" t="s">
        <v>34</v>
      </c>
      <c r="BK98" s="48">
        <f>COUNTIFS(JOURNAL!F:F,"10",JOURNAL!K:K,"COMPLEX D",JOURNAL!O:O,"OT -")</f>
        <v>0</v>
      </c>
      <c r="BL98" s="291"/>
      <c r="BM98" s="60" t="s">
        <v>34</v>
      </c>
      <c r="BN98" s="48">
        <f>COUNTIFS(JOURNAL!F:F,"10",JOURNAL!K:K,"Multi",JOURNAL!O:O,"OT -")</f>
        <v>0</v>
      </c>
      <c r="BO98" s="291"/>
      <c r="BP98" s="60" t="s">
        <v>34</v>
      </c>
      <c r="BQ98" s="48">
        <f>COUNTIFS(JOURNAL!F:F,"10",JOURNAL!K:K,"None",JOURNAL!O:O,"OT -")</f>
        <v>0</v>
      </c>
      <c r="BR98" s="294"/>
      <c r="BS98" s="60" t="s">
        <v>34</v>
      </c>
      <c r="BT98" s="48">
        <f>COUNTIFS(JOURNAL!F:F,"10",JOURNAL!K:K,"Probably Setup",JOURNAL!O:O,"OT -")</f>
        <v>0</v>
      </c>
    </row>
    <row r="99" spans="42:72" ht="15.75" x14ac:dyDescent="0.25">
      <c r="AP99" s="299"/>
      <c r="AQ99" s="291"/>
      <c r="AR99" s="146" t="s">
        <v>115</v>
      </c>
      <c r="AS99" s="48">
        <f>SUM(AS92:AS98)</f>
        <v>0</v>
      </c>
      <c r="AT99" s="291"/>
      <c r="AU99" s="146" t="s">
        <v>115</v>
      </c>
      <c r="AV99" s="48">
        <f>SUM(AV92:AV98)</f>
        <v>0</v>
      </c>
      <c r="AW99" s="291"/>
      <c r="AX99" s="146" t="s">
        <v>115</v>
      </c>
      <c r="AY99" s="48">
        <f>SUM(AY92:AY98)</f>
        <v>0</v>
      </c>
      <c r="AZ99" s="291"/>
      <c r="BA99" s="146" t="s">
        <v>115</v>
      </c>
      <c r="BB99" s="48">
        <f>SUM(BB92:BB98)</f>
        <v>0</v>
      </c>
      <c r="BC99" s="291"/>
      <c r="BD99" s="146" t="s">
        <v>115</v>
      </c>
      <c r="BE99" s="48">
        <f>SUM(BE92:BE98)</f>
        <v>0</v>
      </c>
      <c r="BF99" s="291"/>
      <c r="BG99" s="146" t="s">
        <v>115</v>
      </c>
      <c r="BH99" s="48">
        <f>SUM(BH92:BH98)</f>
        <v>0</v>
      </c>
      <c r="BI99" s="291"/>
      <c r="BJ99" s="146" t="s">
        <v>115</v>
      </c>
      <c r="BK99" s="48">
        <f>SUM(BK92:BK98)</f>
        <v>0</v>
      </c>
      <c r="BL99" s="291"/>
      <c r="BM99" s="146" t="s">
        <v>115</v>
      </c>
      <c r="BN99" s="48">
        <f>SUM(BN92:BN98)</f>
        <v>0</v>
      </c>
      <c r="BO99" s="291"/>
      <c r="BP99" s="146" t="s">
        <v>115</v>
      </c>
      <c r="BQ99" s="48">
        <f>SUM(BQ92:BQ98)</f>
        <v>0</v>
      </c>
      <c r="BR99" s="294"/>
      <c r="BS99" s="146" t="s">
        <v>115</v>
      </c>
      <c r="BT99" s="48">
        <f>SUM(BT92:BT98)</f>
        <v>0</v>
      </c>
    </row>
    <row r="100" spans="42:72" ht="15.75" x14ac:dyDescent="0.25">
      <c r="AP100" s="299"/>
      <c r="AQ100" s="292"/>
      <c r="AR100" s="191" t="s">
        <v>44</v>
      </c>
      <c r="AS100" s="48" t="e">
        <f>SUM(AS92,AS94,AS95,AS97)/AS99</f>
        <v>#DIV/0!</v>
      </c>
      <c r="AT100" s="292"/>
      <c r="AU100" s="191" t="s">
        <v>44</v>
      </c>
      <c r="AV100" s="48" t="e">
        <f>SUM(AV92,AV94,AV95,AV97)/AV99</f>
        <v>#DIV/0!</v>
      </c>
      <c r="AW100" s="292"/>
      <c r="AX100" s="191" t="s">
        <v>44</v>
      </c>
      <c r="AY100" s="48" t="e">
        <f>SUM(AY92,AY94,AY95,AY97)/AY99</f>
        <v>#DIV/0!</v>
      </c>
      <c r="AZ100" s="292"/>
      <c r="BA100" s="191" t="s">
        <v>44</v>
      </c>
      <c r="BB100" s="48" t="e">
        <f>SUM(BB92,BB94,BB95,BB97)/BB99</f>
        <v>#DIV/0!</v>
      </c>
      <c r="BC100" s="292"/>
      <c r="BD100" s="191" t="s">
        <v>44</v>
      </c>
      <c r="BE100" s="48" t="e">
        <f>SUM(BE92,BE94,BE95,BE97)/BE99</f>
        <v>#DIV/0!</v>
      </c>
      <c r="BF100" s="292"/>
      <c r="BG100" s="191" t="s">
        <v>44</v>
      </c>
      <c r="BH100" s="48" t="e">
        <f>SUM(BH92,BH94,BH95,BH97)/BH99</f>
        <v>#DIV/0!</v>
      </c>
      <c r="BI100" s="292"/>
      <c r="BJ100" s="191" t="s">
        <v>44</v>
      </c>
      <c r="BK100" s="48" t="e">
        <f>SUM(BK92,BK94,BK95,BK97)/BK99</f>
        <v>#DIV/0!</v>
      </c>
      <c r="BL100" s="292"/>
      <c r="BM100" s="191" t="s">
        <v>44</v>
      </c>
      <c r="BN100" s="48" t="e">
        <f>SUM(BN92,BN94,BN95,BN97)/BN99</f>
        <v>#DIV/0!</v>
      </c>
      <c r="BO100" s="292"/>
      <c r="BP100" s="191" t="s">
        <v>44</v>
      </c>
      <c r="BQ100" s="48" t="e">
        <f>SUM(BQ92,BQ94,BQ95,BQ97)/BQ99</f>
        <v>#DIV/0!</v>
      </c>
      <c r="BR100" s="295"/>
      <c r="BS100" s="191" t="s">
        <v>44</v>
      </c>
      <c r="BT100" s="48" t="e">
        <f>SUM(BT92,BT94,BT95,BT97)/BT99</f>
        <v>#DIV/0!</v>
      </c>
    </row>
    <row r="102" spans="42:72" ht="21" customHeight="1" x14ac:dyDescent="0.25">
      <c r="AP102" s="299" t="s">
        <v>78</v>
      </c>
      <c r="AQ102" s="290" t="s">
        <v>161</v>
      </c>
      <c r="AR102" s="54" t="s">
        <v>27</v>
      </c>
      <c r="AS102" s="48">
        <f>COUNTIFS(JOURNAL!F:F,"11",JOURNAL!K:K,"2",JOURNAL!O:O,"TP")</f>
        <v>0</v>
      </c>
      <c r="AT102" s="290" t="s">
        <v>162</v>
      </c>
      <c r="AU102" s="54" t="s">
        <v>27</v>
      </c>
      <c r="AV102" s="48">
        <f>COUNTIFS(JOURNAL!F:F,"11",JOURNAL!K:K,"3",JOURNAL!O:O,"TP")</f>
        <v>0</v>
      </c>
      <c r="AW102" s="290" t="s">
        <v>163</v>
      </c>
      <c r="AX102" s="54" t="s">
        <v>27</v>
      </c>
      <c r="AY102" s="48">
        <f>COUNTIFS(JOURNAL!F:F,"11",JOURNAL!K:K,"4",JOURNAL!O:O,"TP")</f>
        <v>0</v>
      </c>
      <c r="AZ102" s="290" t="s">
        <v>164</v>
      </c>
      <c r="BA102" s="54" t="s">
        <v>27</v>
      </c>
      <c r="BB102" s="48">
        <f>COUNTIFS(JOURNAL!F:F,"11",JOURNAL!K:K,"30",JOURNAL!O:O,"TP")</f>
        <v>0</v>
      </c>
      <c r="BC102" s="290" t="s">
        <v>165</v>
      </c>
      <c r="BD102" s="54" t="s">
        <v>27</v>
      </c>
      <c r="BE102" s="48">
        <f>COUNTIFS(JOURNAL!F:F,"11",JOURNAL!K:K,"50",JOURNAL!O:O,"TP")</f>
        <v>0</v>
      </c>
      <c r="BF102" s="290" t="s">
        <v>156</v>
      </c>
      <c r="BG102" s="54" t="s">
        <v>27</v>
      </c>
      <c r="BH102" s="48">
        <f>COUNTIFS(JOURNAL!F:F,"11",JOURNAL!K:K,"COMPLEX H",JOURNAL!O:O,"TP")</f>
        <v>0</v>
      </c>
      <c r="BI102" s="290" t="s">
        <v>66</v>
      </c>
      <c r="BJ102" s="54" t="s">
        <v>27</v>
      </c>
      <c r="BK102" s="48">
        <f>COUNTIFS(JOURNAL!F:F,"11",JOURNAL!K:K,"COMPLEX D",JOURNAL!O:O,"TP")</f>
        <v>0</v>
      </c>
      <c r="BL102" s="290" t="s">
        <v>152</v>
      </c>
      <c r="BM102" s="54" t="s">
        <v>27</v>
      </c>
      <c r="BN102" s="48">
        <f>COUNTIFS(JOURNAL!F:F,"11",JOURNAL!K:K,"Multi",JOURNAL!O:O,"TP")</f>
        <v>0</v>
      </c>
      <c r="BO102" s="290" t="s">
        <v>171</v>
      </c>
      <c r="BP102" s="54" t="s">
        <v>27</v>
      </c>
      <c r="BQ102" s="48">
        <f>COUNTIFS(JOURNAL!F:F,"11",JOURNAL!K:K,"None",JOURNAL!O:O,"TP")</f>
        <v>0</v>
      </c>
      <c r="BR102" s="293" t="s">
        <v>172</v>
      </c>
      <c r="BS102" s="54" t="s">
        <v>27</v>
      </c>
      <c r="BT102" s="48">
        <f>COUNTIFS(JOURNAL!F:F,"11",JOURNAL!K:K,"Probably Setup",JOURNAL!O:O,"TP")</f>
        <v>0</v>
      </c>
    </row>
    <row r="103" spans="42:72" ht="23.25" customHeight="1" x14ac:dyDescent="0.25">
      <c r="AP103" s="299"/>
      <c r="AQ103" s="291"/>
      <c r="AR103" s="55" t="s">
        <v>29</v>
      </c>
      <c r="AS103" s="48">
        <f>COUNTIFS(JOURNAL!F:F,"11",JOURNAL!K:K,"2",JOURNAL!O:O,"SL")</f>
        <v>0</v>
      </c>
      <c r="AT103" s="291"/>
      <c r="AU103" s="55" t="s">
        <v>29</v>
      </c>
      <c r="AV103" s="48">
        <f>COUNTIFS(JOURNAL!F:F,"11",JOURNAL!K:K,"3",JOURNAL!O:O,"SL")</f>
        <v>0</v>
      </c>
      <c r="AW103" s="291"/>
      <c r="AX103" s="55" t="s">
        <v>29</v>
      </c>
      <c r="AY103" s="48">
        <f>COUNTIFS(JOURNAL!F:F,"11",JOURNAL!K:K,"4",JOURNAL!O:O,"SL")</f>
        <v>0</v>
      </c>
      <c r="AZ103" s="291"/>
      <c r="BA103" s="55" t="s">
        <v>29</v>
      </c>
      <c r="BB103" s="48">
        <f>COUNTIFS(JOURNAL!F:F,"11",JOURNAL!K:K,"30",JOURNAL!O:O,"SL")</f>
        <v>0</v>
      </c>
      <c r="BC103" s="291"/>
      <c r="BD103" s="55" t="s">
        <v>29</v>
      </c>
      <c r="BE103" s="48">
        <f>COUNTIFS(JOURNAL!F:F,"11",JOURNAL!K:K,"50",JOURNAL!O:O,"SL")</f>
        <v>0</v>
      </c>
      <c r="BF103" s="291"/>
      <c r="BG103" s="55" t="s">
        <v>29</v>
      </c>
      <c r="BH103" s="48">
        <f>COUNTIFS(JOURNAL!F:F,"11",JOURNAL!K:K,"COMPLEX H",JOURNAL!O:O,"SL")</f>
        <v>0</v>
      </c>
      <c r="BI103" s="291"/>
      <c r="BJ103" s="55" t="s">
        <v>29</v>
      </c>
      <c r="BK103" s="48">
        <f>COUNTIFS(JOURNAL!F:F,"11",JOURNAL!K:K,"COMPLEX D",JOURNAL!O:O,"SL")</f>
        <v>0</v>
      </c>
      <c r="BL103" s="291"/>
      <c r="BM103" s="55" t="s">
        <v>29</v>
      </c>
      <c r="BN103" s="48">
        <f>COUNTIFS(JOURNAL!F:F,"11",JOURNAL!K:K,"Multi",JOURNAL!O:O,"SL")</f>
        <v>0</v>
      </c>
      <c r="BO103" s="291"/>
      <c r="BP103" s="55" t="s">
        <v>29</v>
      </c>
      <c r="BQ103" s="48">
        <f>COUNTIFS(JOURNAL!F:F,"11",JOURNAL!K:K,"None",JOURNAL!O:O,"SL")</f>
        <v>0</v>
      </c>
      <c r="BR103" s="294"/>
      <c r="BS103" s="55" t="s">
        <v>29</v>
      </c>
      <c r="BT103" s="48">
        <f>COUNTIFS(JOURNAL!F:F,"11",JOURNAL!K:K,"Probably Setup",JOURNAL!O:O,"SL")</f>
        <v>0</v>
      </c>
    </row>
    <row r="104" spans="42:72" ht="15.75" x14ac:dyDescent="0.25">
      <c r="AP104" s="299"/>
      <c r="AQ104" s="291"/>
      <c r="AR104" s="56" t="s">
        <v>32</v>
      </c>
      <c r="AS104" s="48">
        <f>COUNTIFS(JOURNAL!F:F,"11",JOURNAL!K:K,"2",JOURNAL!O:O,"RF")</f>
        <v>0</v>
      </c>
      <c r="AT104" s="291"/>
      <c r="AU104" s="56" t="s">
        <v>32</v>
      </c>
      <c r="AV104" s="48">
        <f>COUNTIFS(JOURNAL!F:F,"11",JOURNAL!K:K,"3",JOURNAL!O:O,"RF")</f>
        <v>0</v>
      </c>
      <c r="AW104" s="291"/>
      <c r="AX104" s="56" t="s">
        <v>32</v>
      </c>
      <c r="AY104" s="48">
        <f>COUNTIFS(JOURNAL!F:F,"11",JOURNAL!K:K,"4",JOURNAL!O:O,"RF")</f>
        <v>0</v>
      </c>
      <c r="AZ104" s="291"/>
      <c r="BA104" s="56" t="s">
        <v>32</v>
      </c>
      <c r="BB104" s="48">
        <f>COUNTIFS(JOURNAL!F:F,"11",JOURNAL!K:K,"30",JOURNAL!O:O,"RF")</f>
        <v>0</v>
      </c>
      <c r="BC104" s="291"/>
      <c r="BD104" s="56" t="s">
        <v>32</v>
      </c>
      <c r="BE104" s="48">
        <f>COUNTIFS(JOURNAL!F:F,"11",JOURNAL!K:K,"50",JOURNAL!O:O,"RF")</f>
        <v>0</v>
      </c>
      <c r="BF104" s="291"/>
      <c r="BG104" s="56" t="s">
        <v>32</v>
      </c>
      <c r="BH104" s="48">
        <f>COUNTIFS(JOURNAL!F:F,"11",JOURNAL!K:K,"COMPLEX H",JOURNAL!O:O,"RF")</f>
        <v>0</v>
      </c>
      <c r="BI104" s="291"/>
      <c r="BJ104" s="56" t="s">
        <v>32</v>
      </c>
      <c r="BK104" s="48">
        <f>COUNTIFS(JOURNAL!F:F,"11",JOURNAL!K:K,"COMPLEX D",JOURNAL!O:O,"RF")</f>
        <v>0</v>
      </c>
      <c r="BL104" s="291"/>
      <c r="BM104" s="56" t="s">
        <v>32</v>
      </c>
      <c r="BN104" s="48">
        <f>COUNTIFS(JOURNAL!F:F,"11",JOURNAL!K:K,"Multi",JOURNAL!O:O,"RF")</f>
        <v>0</v>
      </c>
      <c r="BO104" s="291"/>
      <c r="BP104" s="56" t="s">
        <v>32</v>
      </c>
      <c r="BQ104" s="48">
        <f>COUNTIFS(JOURNAL!F:F,"11",JOURNAL!K:K,"None",JOURNAL!O:O,"RF")</f>
        <v>0</v>
      </c>
      <c r="BR104" s="294"/>
      <c r="BS104" s="56" t="s">
        <v>32</v>
      </c>
      <c r="BT104" s="48">
        <f>COUNTIFS(JOURNAL!F:F,"11",JOURNAL!K:K,"Probably Setup",JOURNAL!O:O,"RF")</f>
        <v>0</v>
      </c>
    </row>
    <row r="105" spans="42:72" ht="15.75" x14ac:dyDescent="0.25">
      <c r="AP105" s="299"/>
      <c r="AQ105" s="291"/>
      <c r="AR105" s="57" t="s">
        <v>30</v>
      </c>
      <c r="AS105" s="48">
        <f>COUNTIFS(JOURNAL!F:F,"11",JOURNAL!K:K,"2",JOURNAL!O:O,"PS")</f>
        <v>0</v>
      </c>
      <c r="AT105" s="291"/>
      <c r="AU105" s="57" t="s">
        <v>30</v>
      </c>
      <c r="AV105" s="48">
        <f>COUNTIFS(JOURNAL!F:F,"11",JOURNAL!K:K,"3",JOURNAL!O:O,"PS")</f>
        <v>0</v>
      </c>
      <c r="AW105" s="291"/>
      <c r="AX105" s="57" t="s">
        <v>30</v>
      </c>
      <c r="AY105" s="48">
        <f>COUNTIFS(JOURNAL!F:F,"11",JOURNAL!K:K,"4",JOURNAL!O:O,"PS")</f>
        <v>0</v>
      </c>
      <c r="AZ105" s="291"/>
      <c r="BA105" s="57" t="s">
        <v>30</v>
      </c>
      <c r="BB105" s="48">
        <f>COUNTIFS(JOURNAL!F:F,"11",JOURNAL!K:K,"30",JOURNAL!O:O,"PS")</f>
        <v>0</v>
      </c>
      <c r="BC105" s="291"/>
      <c r="BD105" s="57" t="s">
        <v>30</v>
      </c>
      <c r="BE105" s="48">
        <f>COUNTIFS(JOURNAL!F:F,"11",JOURNAL!K:K,"50",JOURNAL!O:O,"PS")</f>
        <v>0</v>
      </c>
      <c r="BF105" s="291"/>
      <c r="BG105" s="57" t="s">
        <v>30</v>
      </c>
      <c r="BH105" s="48">
        <f>COUNTIFS(JOURNAL!F:F,"11",JOURNAL!K:K,"COMPLEX H",JOURNAL!O:O,"PS")</f>
        <v>0</v>
      </c>
      <c r="BI105" s="291"/>
      <c r="BJ105" s="57" t="s">
        <v>30</v>
      </c>
      <c r="BK105" s="48">
        <f>COUNTIFS(JOURNAL!F:F,"11",JOURNAL!K:K,"COMPLEX D",JOURNAL!O:O,"PS")</f>
        <v>0</v>
      </c>
      <c r="BL105" s="291"/>
      <c r="BM105" s="57" t="s">
        <v>30</v>
      </c>
      <c r="BN105" s="48">
        <f>COUNTIFS(JOURNAL!F:F,"11",JOURNAL!K:K,"Multi",JOURNAL!O:O,"PS")</f>
        <v>0</v>
      </c>
      <c r="BO105" s="291"/>
      <c r="BP105" s="57" t="s">
        <v>30</v>
      </c>
      <c r="BQ105" s="48">
        <f>COUNTIFS(JOURNAL!F:F,"11",JOURNAL!K:K,"None",JOURNAL!O:O,"PS")</f>
        <v>0</v>
      </c>
      <c r="BR105" s="294"/>
      <c r="BS105" s="57" t="s">
        <v>30</v>
      </c>
      <c r="BT105" s="48">
        <f>COUNTIFS(JOURNAL!F:F,"11",JOURNAL!K:K,"Probably Setup",JOURNAL!O:O,"PS")</f>
        <v>0</v>
      </c>
    </row>
    <row r="106" spans="42:72" ht="15.75" x14ac:dyDescent="0.25">
      <c r="AP106" s="299"/>
      <c r="AQ106" s="291"/>
      <c r="AR106" s="58" t="s">
        <v>31</v>
      </c>
      <c r="AS106" s="48">
        <f>COUNTIFS(JOURNAL!F:F,"11",JOURNAL!K:K,"2",JOURNAL!O:O,"LS")</f>
        <v>0</v>
      </c>
      <c r="AT106" s="291"/>
      <c r="AU106" s="58" t="s">
        <v>31</v>
      </c>
      <c r="AV106" s="48">
        <f>COUNTIFS(JOURNAL!F:F,"11",JOURNAL!K:K,"3",JOURNAL!O:O,"LS")</f>
        <v>0</v>
      </c>
      <c r="AW106" s="291"/>
      <c r="AX106" s="58" t="s">
        <v>31</v>
      </c>
      <c r="AY106" s="48">
        <f>COUNTIFS(JOURNAL!F:F,"11",JOURNAL!K:K,"4",JOURNAL!O:O,"LS")</f>
        <v>0</v>
      </c>
      <c r="AZ106" s="291"/>
      <c r="BA106" s="58" t="s">
        <v>31</v>
      </c>
      <c r="BB106" s="48">
        <f>COUNTIFS(JOURNAL!F:F,"11",JOURNAL!K:K,"30",JOURNAL!O:O,"LS")</f>
        <v>0</v>
      </c>
      <c r="BC106" s="291"/>
      <c r="BD106" s="58" t="s">
        <v>31</v>
      </c>
      <c r="BE106" s="48">
        <f>COUNTIFS(JOURNAL!F:F,"11",JOURNAL!K:K,"50",JOURNAL!O:O,"LS")</f>
        <v>0</v>
      </c>
      <c r="BF106" s="291"/>
      <c r="BG106" s="58" t="s">
        <v>31</v>
      </c>
      <c r="BH106" s="48">
        <f>COUNTIFS(JOURNAL!F:F,"11",JOURNAL!K:K,"COMPLEX H",JOURNAL!O:O,"LS")</f>
        <v>0</v>
      </c>
      <c r="BI106" s="291"/>
      <c r="BJ106" s="58" t="s">
        <v>31</v>
      </c>
      <c r="BK106" s="48">
        <f>COUNTIFS(JOURNAL!F:F,"11",JOURNAL!K:K,"COMPLEX D",JOURNAL!O:O,"LS")</f>
        <v>0</v>
      </c>
      <c r="BL106" s="291"/>
      <c r="BM106" s="58" t="s">
        <v>31</v>
      </c>
      <c r="BN106" s="48">
        <f>COUNTIFS(JOURNAL!F:F,"11",JOURNAL!K:K,"Multi",JOURNAL!O:O,"LS")</f>
        <v>0</v>
      </c>
      <c r="BO106" s="291"/>
      <c r="BP106" s="58" t="s">
        <v>31</v>
      </c>
      <c r="BQ106" s="48">
        <f>COUNTIFS(JOURNAL!F:F,"11",JOURNAL!K:K,"None",JOURNAL!O:O,"LS")</f>
        <v>0</v>
      </c>
      <c r="BR106" s="294"/>
      <c r="BS106" s="58" t="s">
        <v>31</v>
      </c>
      <c r="BT106" s="48">
        <f>COUNTIFS(JOURNAL!F:F,"11",JOURNAL!K:K,"Probably Setup",JOURNAL!O:O,"LS")</f>
        <v>0</v>
      </c>
    </row>
    <row r="107" spans="42:72" ht="15.75" x14ac:dyDescent="0.25">
      <c r="AP107" s="299"/>
      <c r="AQ107" s="291"/>
      <c r="AR107" s="59" t="s">
        <v>33</v>
      </c>
      <c r="AS107" s="48">
        <f>COUNTIFS(JOURNAL!F:F,"11",JOURNAL!K:K,"2",JOURNAL!O:O,"OT +")</f>
        <v>0</v>
      </c>
      <c r="AT107" s="291"/>
      <c r="AU107" s="59" t="s">
        <v>33</v>
      </c>
      <c r="AV107" s="48">
        <f>COUNTIFS(JOURNAL!F:F,"11",JOURNAL!K:K,"3",JOURNAL!O:O,"OT +")</f>
        <v>0</v>
      </c>
      <c r="AW107" s="291"/>
      <c r="AX107" s="59" t="s">
        <v>33</v>
      </c>
      <c r="AY107" s="48">
        <f>COUNTIFS(JOURNAL!F:F,"11",JOURNAL!K:K,"4",JOURNAL!O:O,"OT +")</f>
        <v>0</v>
      </c>
      <c r="AZ107" s="291"/>
      <c r="BA107" s="59" t="s">
        <v>33</v>
      </c>
      <c r="BB107" s="48">
        <f>COUNTIFS(JOURNAL!F:F,"11",JOURNAL!K:K,"30",JOURNAL!O:O,"OT +")</f>
        <v>0</v>
      </c>
      <c r="BC107" s="291"/>
      <c r="BD107" s="59" t="s">
        <v>33</v>
      </c>
      <c r="BE107" s="48">
        <f>COUNTIFS(JOURNAL!F:F,"11",JOURNAL!K:K,"50",JOURNAL!O:O,"OT +")</f>
        <v>0</v>
      </c>
      <c r="BF107" s="291"/>
      <c r="BG107" s="59" t="s">
        <v>33</v>
      </c>
      <c r="BH107" s="48">
        <f>COUNTIFS(JOURNAL!F:F,"11",JOURNAL!K:K,"COMPLEX H",JOURNAL!O:O,"OT +")</f>
        <v>0</v>
      </c>
      <c r="BI107" s="291"/>
      <c r="BJ107" s="59" t="s">
        <v>33</v>
      </c>
      <c r="BK107" s="48">
        <f>COUNTIFS(JOURNAL!F:F,"11",JOURNAL!K:K,"COMPLEX D",JOURNAL!O:O,"OT +")</f>
        <v>0</v>
      </c>
      <c r="BL107" s="291"/>
      <c r="BM107" s="59" t="s">
        <v>33</v>
      </c>
      <c r="BN107" s="48">
        <f>COUNTIFS(JOURNAL!F:F,"11",JOURNAL!K:K,"Multi",JOURNAL!O:O,"OT +")</f>
        <v>0</v>
      </c>
      <c r="BO107" s="291"/>
      <c r="BP107" s="59" t="s">
        <v>33</v>
      </c>
      <c r="BQ107" s="48">
        <f>COUNTIFS(JOURNAL!F:F,"11",JOURNAL!K:K,"None",JOURNAL!O:O,"OT +")</f>
        <v>0</v>
      </c>
      <c r="BR107" s="294"/>
      <c r="BS107" s="59" t="s">
        <v>33</v>
      </c>
      <c r="BT107" s="48">
        <f>COUNTIFS(JOURNAL!F:F,"11",JOURNAL!K:K,"Probably Setup",JOURNAL!O:O,"OT +")</f>
        <v>0</v>
      </c>
    </row>
    <row r="108" spans="42:72" ht="15.75" x14ac:dyDescent="0.25">
      <c r="AP108" s="299"/>
      <c r="AQ108" s="291"/>
      <c r="AR108" s="60" t="s">
        <v>34</v>
      </c>
      <c r="AS108" s="48">
        <f>COUNTIFS(JOURNAL!F:F,"11",JOURNAL!K:K,"2",JOURNAL!O:O,"OT -")</f>
        <v>0</v>
      </c>
      <c r="AT108" s="291"/>
      <c r="AU108" s="60" t="s">
        <v>34</v>
      </c>
      <c r="AV108" s="48">
        <f>COUNTIFS(JOURNAL!F:F,"11",JOURNAL!K:K,"3",JOURNAL!O:O,"OT -")</f>
        <v>0</v>
      </c>
      <c r="AW108" s="291"/>
      <c r="AX108" s="60" t="s">
        <v>34</v>
      </c>
      <c r="AY108" s="48">
        <f>COUNTIFS(JOURNAL!F:F,"11",JOURNAL!K:K,"4",JOURNAL!O:O,"OT -")</f>
        <v>0</v>
      </c>
      <c r="AZ108" s="291"/>
      <c r="BA108" s="60" t="s">
        <v>34</v>
      </c>
      <c r="BB108" s="48">
        <f>COUNTIFS(JOURNAL!F:F,"11",JOURNAL!K:K,"30",JOURNAL!O:O,"OT -")</f>
        <v>0</v>
      </c>
      <c r="BC108" s="291"/>
      <c r="BD108" s="60" t="s">
        <v>34</v>
      </c>
      <c r="BE108" s="48">
        <f>COUNTIFS(JOURNAL!F:F,"11",JOURNAL!K:K,"50",JOURNAL!O:O,"OT -")</f>
        <v>0</v>
      </c>
      <c r="BF108" s="291"/>
      <c r="BG108" s="60" t="s">
        <v>34</v>
      </c>
      <c r="BH108" s="48">
        <f>COUNTIFS(JOURNAL!F:F,"11",JOURNAL!K:K,"COMPLEX H",JOURNAL!O:O,"OT -")</f>
        <v>0</v>
      </c>
      <c r="BI108" s="291"/>
      <c r="BJ108" s="60" t="s">
        <v>34</v>
      </c>
      <c r="BK108" s="48">
        <f>COUNTIFS(JOURNAL!F:F,"11",JOURNAL!K:K,"COMPLEX D",JOURNAL!O:O,"OT -")</f>
        <v>0</v>
      </c>
      <c r="BL108" s="291"/>
      <c r="BM108" s="60" t="s">
        <v>34</v>
      </c>
      <c r="BN108" s="48">
        <f>COUNTIFS(JOURNAL!F:F,"11",JOURNAL!K:K,"Multi",JOURNAL!O:O,"OT -")</f>
        <v>0</v>
      </c>
      <c r="BO108" s="291"/>
      <c r="BP108" s="60" t="s">
        <v>34</v>
      </c>
      <c r="BQ108" s="48">
        <f>COUNTIFS(JOURNAL!F:F,"11",JOURNAL!K:K,"None",JOURNAL!O:O,"OT -")</f>
        <v>0</v>
      </c>
      <c r="BR108" s="294"/>
      <c r="BS108" s="60" t="s">
        <v>34</v>
      </c>
      <c r="BT108" s="48">
        <f>COUNTIFS(JOURNAL!F:F,"11",JOURNAL!K:K,"Probably Setup",JOURNAL!O:O,"OT -")</f>
        <v>0</v>
      </c>
    </row>
    <row r="109" spans="42:72" ht="15.75" x14ac:dyDescent="0.25">
      <c r="AP109" s="299"/>
      <c r="AQ109" s="291"/>
      <c r="AR109" s="146" t="s">
        <v>115</v>
      </c>
      <c r="AS109" s="48">
        <f>SUM(AS102:AS108)</f>
        <v>0</v>
      </c>
      <c r="AT109" s="291"/>
      <c r="AU109" s="146" t="s">
        <v>115</v>
      </c>
      <c r="AV109" s="48">
        <f>SUM(AV102:AV108)</f>
        <v>0</v>
      </c>
      <c r="AW109" s="291"/>
      <c r="AX109" s="146" t="s">
        <v>115</v>
      </c>
      <c r="AY109" s="48">
        <f>SUM(AY102:AY108)</f>
        <v>0</v>
      </c>
      <c r="AZ109" s="291"/>
      <c r="BA109" s="146" t="s">
        <v>115</v>
      </c>
      <c r="BB109" s="48">
        <f>SUM(BB102:BB108)</f>
        <v>0</v>
      </c>
      <c r="BC109" s="291"/>
      <c r="BD109" s="146" t="s">
        <v>115</v>
      </c>
      <c r="BE109" s="48">
        <f>SUM(BE102:BE108)</f>
        <v>0</v>
      </c>
      <c r="BF109" s="291"/>
      <c r="BG109" s="146" t="s">
        <v>115</v>
      </c>
      <c r="BH109" s="48">
        <f>SUM(BH102:BH108)</f>
        <v>0</v>
      </c>
      <c r="BI109" s="291"/>
      <c r="BJ109" s="146" t="s">
        <v>115</v>
      </c>
      <c r="BK109" s="48">
        <f>SUM(BK102:BK108)</f>
        <v>0</v>
      </c>
      <c r="BL109" s="291"/>
      <c r="BM109" s="146" t="s">
        <v>115</v>
      </c>
      <c r="BN109" s="48">
        <f>SUM(BN102:BN108)</f>
        <v>0</v>
      </c>
      <c r="BO109" s="291"/>
      <c r="BP109" s="146" t="s">
        <v>115</v>
      </c>
      <c r="BQ109" s="48">
        <f>SUM(BQ102:BQ108)</f>
        <v>0</v>
      </c>
      <c r="BR109" s="294"/>
      <c r="BS109" s="146" t="s">
        <v>115</v>
      </c>
      <c r="BT109" s="48">
        <f>SUM(BT102:BT108)</f>
        <v>0</v>
      </c>
    </row>
    <row r="110" spans="42:72" ht="15.75" x14ac:dyDescent="0.25">
      <c r="AP110" s="299"/>
      <c r="AQ110" s="292"/>
      <c r="AR110" s="191" t="s">
        <v>44</v>
      </c>
      <c r="AS110" s="48" t="e">
        <f>SUM(AS102,AS104,AS105,AS107)/AS109</f>
        <v>#DIV/0!</v>
      </c>
      <c r="AT110" s="292"/>
      <c r="AU110" s="191" t="s">
        <v>44</v>
      </c>
      <c r="AV110" s="48" t="e">
        <f>SUM(AV102,AV104,AV105,AV107)/AV109</f>
        <v>#DIV/0!</v>
      </c>
      <c r="AW110" s="292"/>
      <c r="AX110" s="191" t="s">
        <v>44</v>
      </c>
      <c r="AY110" s="48" t="e">
        <f>SUM(AY102,AY104,AY105,AY107)/AY109</f>
        <v>#DIV/0!</v>
      </c>
      <c r="AZ110" s="292"/>
      <c r="BA110" s="191" t="s">
        <v>44</v>
      </c>
      <c r="BB110" s="48" t="e">
        <f>SUM(BB102,BB104,BB105,BB107)/BB109</f>
        <v>#DIV/0!</v>
      </c>
      <c r="BC110" s="292"/>
      <c r="BD110" s="191" t="s">
        <v>44</v>
      </c>
      <c r="BE110" s="48" t="e">
        <f>SUM(BE102,BE104,BE105,BE107)/BE109</f>
        <v>#DIV/0!</v>
      </c>
      <c r="BF110" s="292"/>
      <c r="BG110" s="191" t="s">
        <v>44</v>
      </c>
      <c r="BH110" s="48" t="e">
        <f>SUM(BH102,BH104,BH105,BH107)/BH109</f>
        <v>#DIV/0!</v>
      </c>
      <c r="BI110" s="292"/>
      <c r="BJ110" s="191" t="s">
        <v>44</v>
      </c>
      <c r="BK110" s="48" t="e">
        <f>SUM(BK102,BK104,BK105,BK107)/BK109</f>
        <v>#DIV/0!</v>
      </c>
      <c r="BL110" s="292"/>
      <c r="BM110" s="191" t="s">
        <v>44</v>
      </c>
      <c r="BN110" s="48" t="e">
        <f>SUM(BN102,BN104,BN105,BN107)/BN109</f>
        <v>#DIV/0!</v>
      </c>
      <c r="BO110" s="292"/>
      <c r="BP110" s="191" t="s">
        <v>44</v>
      </c>
      <c r="BQ110" s="48" t="e">
        <f>SUM(BQ102,BQ104,BQ105,BQ107)/BQ109</f>
        <v>#DIV/0!</v>
      </c>
      <c r="BR110" s="295"/>
      <c r="BS110" s="191" t="s">
        <v>44</v>
      </c>
      <c r="BT110" s="48" t="e">
        <f>SUM(BT102,BT104,BT105,BT107)/BT109</f>
        <v>#DIV/0!</v>
      </c>
    </row>
    <row r="112" spans="42:72" ht="18.75" customHeight="1" x14ac:dyDescent="0.25">
      <c r="AP112" s="299" t="s">
        <v>79</v>
      </c>
      <c r="AQ112" s="290" t="s">
        <v>161</v>
      </c>
      <c r="AR112" s="54" t="s">
        <v>27</v>
      </c>
      <c r="AS112" s="48">
        <f>COUNTIFS(JOURNAL!F:F,"12",JOURNAL!K:K,"2",JOURNAL!O:O,"TP")</f>
        <v>0</v>
      </c>
      <c r="AT112" s="290" t="s">
        <v>162</v>
      </c>
      <c r="AU112" s="54" t="s">
        <v>27</v>
      </c>
      <c r="AV112" s="48">
        <f>COUNTIFS(JOURNAL!F:F,"12",JOURNAL!K:K,"3",JOURNAL!O:O,"TP")</f>
        <v>0</v>
      </c>
      <c r="AW112" s="290" t="s">
        <v>163</v>
      </c>
      <c r="AX112" s="54" t="s">
        <v>27</v>
      </c>
      <c r="AY112" s="48">
        <f>COUNTIFS(JOURNAL!F:F,"12",JOURNAL!K:K,"4",JOURNAL!O:O,"TP")</f>
        <v>0</v>
      </c>
      <c r="AZ112" s="290" t="s">
        <v>164</v>
      </c>
      <c r="BA112" s="54" t="s">
        <v>27</v>
      </c>
      <c r="BB112" s="48">
        <f>COUNTIFS(JOURNAL!F:F,"12",JOURNAL!K:K,"30",JOURNAL!O:O,"TP")</f>
        <v>0</v>
      </c>
      <c r="BC112" s="290" t="s">
        <v>165</v>
      </c>
      <c r="BD112" s="54" t="s">
        <v>27</v>
      </c>
      <c r="BE112" s="48">
        <f>COUNTIFS(JOURNAL!F:F,"12",JOURNAL!K:K,"50",JOURNAL!O:O,"TP")</f>
        <v>0</v>
      </c>
      <c r="BF112" s="290" t="s">
        <v>156</v>
      </c>
      <c r="BG112" s="54" t="s">
        <v>27</v>
      </c>
      <c r="BH112" s="48">
        <f>COUNTIFS(JOURNAL!F:F,"12",JOURNAL!K:K,"COMPLEX H",JOURNAL!O:O,"TP")</f>
        <v>0</v>
      </c>
      <c r="BI112" s="290" t="s">
        <v>66</v>
      </c>
      <c r="BJ112" s="54" t="s">
        <v>27</v>
      </c>
      <c r="BK112" s="48">
        <f>COUNTIFS(JOURNAL!F:F,"12",JOURNAL!K:K,"COMPLEX D",JOURNAL!O:O,"TP")</f>
        <v>0</v>
      </c>
      <c r="BL112" s="290" t="s">
        <v>152</v>
      </c>
      <c r="BM112" s="54" t="s">
        <v>27</v>
      </c>
      <c r="BN112" s="48">
        <f>COUNTIFS(JOURNAL!F:F,"12",JOURNAL!K:K,"Multi",JOURNAL!O:O,"TP")</f>
        <v>0</v>
      </c>
      <c r="BO112" s="290" t="s">
        <v>171</v>
      </c>
      <c r="BP112" s="54" t="s">
        <v>27</v>
      </c>
      <c r="BQ112" s="48">
        <f>COUNTIFS(JOURNAL!F:F,"12",JOURNAL!K:K,"None",JOURNAL!O:O,"TP")</f>
        <v>0</v>
      </c>
      <c r="BR112" s="293" t="s">
        <v>172</v>
      </c>
      <c r="BS112" s="54" t="s">
        <v>27</v>
      </c>
      <c r="BT112" s="48">
        <f>COUNTIFS(JOURNAL!F:F,"12",JOURNAL!K:K,"Probably Setup",JOURNAL!O:O,"TP")</f>
        <v>0</v>
      </c>
    </row>
    <row r="113" spans="42:72" ht="20.25" customHeight="1" x14ac:dyDescent="0.25">
      <c r="AP113" s="299"/>
      <c r="AQ113" s="291"/>
      <c r="AR113" s="55" t="s">
        <v>29</v>
      </c>
      <c r="AS113" s="48">
        <f>COUNTIFS(JOURNAL!F:F,"12",JOURNAL!K:K,"2",JOURNAL!O:O,"SL")</f>
        <v>0</v>
      </c>
      <c r="AT113" s="291"/>
      <c r="AU113" s="55" t="s">
        <v>29</v>
      </c>
      <c r="AV113" s="48">
        <f>COUNTIFS(JOURNAL!F:F,"12",JOURNAL!K:K,"3",JOURNAL!O:O,"SL")</f>
        <v>0</v>
      </c>
      <c r="AW113" s="291"/>
      <c r="AX113" s="55" t="s">
        <v>29</v>
      </c>
      <c r="AY113" s="48">
        <f>COUNTIFS(JOURNAL!F:F,"12",JOURNAL!K:K,"4",JOURNAL!O:O,"SL")</f>
        <v>0</v>
      </c>
      <c r="AZ113" s="291"/>
      <c r="BA113" s="55" t="s">
        <v>29</v>
      </c>
      <c r="BB113" s="48">
        <f>COUNTIFS(JOURNAL!F:F,"12",JOURNAL!K:K,"30",JOURNAL!O:O,"SL")</f>
        <v>0</v>
      </c>
      <c r="BC113" s="291"/>
      <c r="BD113" s="55" t="s">
        <v>29</v>
      </c>
      <c r="BE113" s="48">
        <f>COUNTIFS(JOURNAL!F:F,"12",JOURNAL!K:K,"50",JOURNAL!O:O,"SL")</f>
        <v>0</v>
      </c>
      <c r="BF113" s="291"/>
      <c r="BG113" s="55" t="s">
        <v>29</v>
      </c>
      <c r="BH113" s="48">
        <f>COUNTIFS(JOURNAL!F:F,"12",JOURNAL!K:K,"COMPLEX H",JOURNAL!O:O,"SL")</f>
        <v>0</v>
      </c>
      <c r="BI113" s="291"/>
      <c r="BJ113" s="55" t="s">
        <v>29</v>
      </c>
      <c r="BK113" s="48">
        <f>COUNTIFS(JOURNAL!F:F,"12",JOURNAL!K:K,"COMPLEX D",JOURNAL!O:O,"SL")</f>
        <v>0</v>
      </c>
      <c r="BL113" s="291"/>
      <c r="BM113" s="55" t="s">
        <v>29</v>
      </c>
      <c r="BN113" s="48">
        <f>COUNTIFS(JOURNAL!F:F,"12",JOURNAL!K:K,"Multi",JOURNAL!O:O,"SL")</f>
        <v>0</v>
      </c>
      <c r="BO113" s="291"/>
      <c r="BP113" s="55" t="s">
        <v>29</v>
      </c>
      <c r="BQ113" s="48">
        <f>COUNTIFS(JOURNAL!F:F,"12",JOURNAL!K:K,"None",JOURNAL!O:O,"SL")</f>
        <v>0</v>
      </c>
      <c r="BR113" s="294"/>
      <c r="BS113" s="55" t="s">
        <v>29</v>
      </c>
      <c r="BT113" s="48">
        <f>COUNTIFS(JOURNAL!F:F,"12",JOURNAL!K:K,"Probably Setup",JOURNAL!O:O,"SL")</f>
        <v>0</v>
      </c>
    </row>
    <row r="114" spans="42:72" ht="21" customHeight="1" x14ac:dyDescent="0.25">
      <c r="AP114" s="299"/>
      <c r="AQ114" s="291"/>
      <c r="AR114" s="56" t="s">
        <v>32</v>
      </c>
      <c r="AS114" s="48">
        <f>COUNTIFS(JOURNAL!F:F,"12",JOURNAL!K:K,"2",JOURNAL!O:O,"RF")</f>
        <v>0</v>
      </c>
      <c r="AT114" s="291"/>
      <c r="AU114" s="56" t="s">
        <v>32</v>
      </c>
      <c r="AV114" s="48">
        <f>COUNTIFS(JOURNAL!F:F,"12",JOURNAL!K:K,"3",JOURNAL!O:O,"RF")</f>
        <v>0</v>
      </c>
      <c r="AW114" s="291"/>
      <c r="AX114" s="56" t="s">
        <v>32</v>
      </c>
      <c r="AY114" s="48">
        <f>COUNTIFS(JOURNAL!F:F,"12",JOURNAL!K:K,"4",JOURNAL!O:O,"RF")</f>
        <v>0</v>
      </c>
      <c r="AZ114" s="291"/>
      <c r="BA114" s="56" t="s">
        <v>32</v>
      </c>
      <c r="BB114" s="48">
        <f>COUNTIFS(JOURNAL!F:F,"12",JOURNAL!K:K,"30",JOURNAL!O:O,"RF")</f>
        <v>0</v>
      </c>
      <c r="BC114" s="291"/>
      <c r="BD114" s="56" t="s">
        <v>32</v>
      </c>
      <c r="BE114" s="48">
        <f>COUNTIFS(JOURNAL!F:F,"12",JOURNAL!K:K,"50",JOURNAL!O:O,"RF")</f>
        <v>0</v>
      </c>
      <c r="BF114" s="291"/>
      <c r="BG114" s="56" t="s">
        <v>32</v>
      </c>
      <c r="BH114" s="48">
        <f>COUNTIFS(JOURNAL!F:F,"12",JOURNAL!K:K,"COMPLEX H",JOURNAL!O:O,"RF")</f>
        <v>0</v>
      </c>
      <c r="BI114" s="291"/>
      <c r="BJ114" s="56" t="s">
        <v>32</v>
      </c>
      <c r="BK114" s="48">
        <f>COUNTIFS(JOURNAL!F:F,"12",JOURNAL!K:K,"COMPLEX D",JOURNAL!O:O,"RF")</f>
        <v>0</v>
      </c>
      <c r="BL114" s="291"/>
      <c r="BM114" s="56" t="s">
        <v>32</v>
      </c>
      <c r="BN114" s="48">
        <f>COUNTIFS(JOURNAL!F:F,"12",JOURNAL!K:K,"Multi",JOURNAL!O:O,"RF")</f>
        <v>0</v>
      </c>
      <c r="BO114" s="291"/>
      <c r="BP114" s="56" t="s">
        <v>32</v>
      </c>
      <c r="BQ114" s="48">
        <f>COUNTIFS(JOURNAL!F:F,"12",JOURNAL!K:K,"None",JOURNAL!O:O,"RF")</f>
        <v>0</v>
      </c>
      <c r="BR114" s="294"/>
      <c r="BS114" s="56" t="s">
        <v>32</v>
      </c>
      <c r="BT114" s="48">
        <f>COUNTIFS(JOURNAL!F:F,"12",JOURNAL!K:K,"Probably Setup",JOURNAL!O:O,"RF")</f>
        <v>0</v>
      </c>
    </row>
    <row r="115" spans="42:72" ht="15.75" x14ac:dyDescent="0.25">
      <c r="AP115" s="299"/>
      <c r="AQ115" s="291"/>
      <c r="AR115" s="57" t="s">
        <v>30</v>
      </c>
      <c r="AS115" s="48">
        <f>COUNTIFS(JOURNAL!F:F,"12",JOURNAL!K:K,"2",JOURNAL!O:O,"PS")</f>
        <v>0</v>
      </c>
      <c r="AT115" s="291"/>
      <c r="AU115" s="57" t="s">
        <v>30</v>
      </c>
      <c r="AV115" s="48">
        <f>COUNTIFS(JOURNAL!F:F,"12",JOURNAL!K:K,"3",JOURNAL!O:O,"PS")</f>
        <v>0</v>
      </c>
      <c r="AW115" s="291"/>
      <c r="AX115" s="57" t="s">
        <v>30</v>
      </c>
      <c r="AY115" s="48">
        <f>COUNTIFS(JOURNAL!F:F,"12",JOURNAL!K:K,"4",JOURNAL!O:O,"PS")</f>
        <v>0</v>
      </c>
      <c r="AZ115" s="291"/>
      <c r="BA115" s="57" t="s">
        <v>30</v>
      </c>
      <c r="BB115" s="48">
        <f>COUNTIFS(JOURNAL!F:F,"12",JOURNAL!K:K,"30",JOURNAL!O:O,"PS")</f>
        <v>0</v>
      </c>
      <c r="BC115" s="291"/>
      <c r="BD115" s="57" t="s">
        <v>30</v>
      </c>
      <c r="BE115" s="48">
        <f>COUNTIFS(JOURNAL!F:F,"12",JOURNAL!K:K,"50",JOURNAL!O:O,"PS")</f>
        <v>0</v>
      </c>
      <c r="BF115" s="291"/>
      <c r="BG115" s="57" t="s">
        <v>30</v>
      </c>
      <c r="BH115" s="48">
        <f>COUNTIFS(JOURNAL!F:F,"12",JOURNAL!K:K,"COMPLEX H",JOURNAL!O:O,"PS")</f>
        <v>0</v>
      </c>
      <c r="BI115" s="291"/>
      <c r="BJ115" s="57" t="s">
        <v>30</v>
      </c>
      <c r="BK115" s="48">
        <f>COUNTIFS(JOURNAL!F:F,"12",JOURNAL!K:K,"COMPLEX D",JOURNAL!O:O,"PS")</f>
        <v>0</v>
      </c>
      <c r="BL115" s="291"/>
      <c r="BM115" s="57" t="s">
        <v>30</v>
      </c>
      <c r="BN115" s="48">
        <f>COUNTIFS(JOURNAL!F:F,"12",JOURNAL!K:K,"Multi",JOURNAL!O:O,"PS")</f>
        <v>0</v>
      </c>
      <c r="BO115" s="291"/>
      <c r="BP115" s="57" t="s">
        <v>30</v>
      </c>
      <c r="BQ115" s="48">
        <f>COUNTIFS(JOURNAL!F:F,"12",JOURNAL!K:K,"None",JOURNAL!O:O,"PS")</f>
        <v>0</v>
      </c>
      <c r="BR115" s="294"/>
      <c r="BS115" s="57" t="s">
        <v>30</v>
      </c>
      <c r="BT115" s="48">
        <f>COUNTIFS(JOURNAL!F:F,"12",JOURNAL!K:K,"Probably Setup",JOURNAL!O:O,"PS")</f>
        <v>0</v>
      </c>
    </row>
    <row r="116" spans="42:72" ht="15.75" x14ac:dyDescent="0.25">
      <c r="AP116" s="299"/>
      <c r="AQ116" s="291"/>
      <c r="AR116" s="58" t="s">
        <v>31</v>
      </c>
      <c r="AS116" s="48">
        <f>COUNTIFS(JOURNAL!F:F,"12",JOURNAL!K:K,"2",JOURNAL!O:O,"LS")</f>
        <v>0</v>
      </c>
      <c r="AT116" s="291"/>
      <c r="AU116" s="58" t="s">
        <v>31</v>
      </c>
      <c r="AV116" s="48">
        <f>COUNTIFS(JOURNAL!F:F,"12",JOURNAL!K:K,"3",JOURNAL!O:O,"LS")</f>
        <v>0</v>
      </c>
      <c r="AW116" s="291"/>
      <c r="AX116" s="58" t="s">
        <v>31</v>
      </c>
      <c r="AY116" s="48">
        <f>COUNTIFS(JOURNAL!F:F,"12",JOURNAL!K:K,"4",JOURNAL!O:O,"LS")</f>
        <v>0</v>
      </c>
      <c r="AZ116" s="291"/>
      <c r="BA116" s="58" t="s">
        <v>31</v>
      </c>
      <c r="BB116" s="48">
        <f>COUNTIFS(JOURNAL!F:F,"12",JOURNAL!K:K,"30",JOURNAL!O:O,"LS")</f>
        <v>0</v>
      </c>
      <c r="BC116" s="291"/>
      <c r="BD116" s="58" t="s">
        <v>31</v>
      </c>
      <c r="BE116" s="48">
        <f>COUNTIFS(JOURNAL!F:F,"12",JOURNAL!K:K,"50",JOURNAL!O:O,"LS")</f>
        <v>0</v>
      </c>
      <c r="BF116" s="291"/>
      <c r="BG116" s="58" t="s">
        <v>31</v>
      </c>
      <c r="BH116" s="48">
        <f>COUNTIFS(JOURNAL!F:F,"12",JOURNAL!K:K,"COMPLEX H",JOURNAL!O:O,"LS")</f>
        <v>0</v>
      </c>
      <c r="BI116" s="291"/>
      <c r="BJ116" s="58" t="s">
        <v>31</v>
      </c>
      <c r="BK116" s="48">
        <f>COUNTIFS(JOURNAL!F:F,"12",JOURNAL!K:K,"COMPLEX D",JOURNAL!O:O,"LS")</f>
        <v>0</v>
      </c>
      <c r="BL116" s="291"/>
      <c r="BM116" s="58" t="s">
        <v>31</v>
      </c>
      <c r="BN116" s="48">
        <f>COUNTIFS(JOURNAL!F:F,"12",JOURNAL!K:K,"Multi",JOURNAL!O:O,"LS")</f>
        <v>0</v>
      </c>
      <c r="BO116" s="291"/>
      <c r="BP116" s="58" t="s">
        <v>31</v>
      </c>
      <c r="BQ116" s="48">
        <f>COUNTIFS(JOURNAL!F:F,"12",JOURNAL!K:K,"None",JOURNAL!O:O,"LS")</f>
        <v>0</v>
      </c>
      <c r="BR116" s="294"/>
      <c r="BS116" s="58" t="s">
        <v>31</v>
      </c>
      <c r="BT116" s="48">
        <f>COUNTIFS(JOURNAL!F:F,"12",JOURNAL!K:K,"Probably Setup",JOURNAL!O:O,"LS")</f>
        <v>0</v>
      </c>
    </row>
    <row r="117" spans="42:72" ht="15.75" x14ac:dyDescent="0.25">
      <c r="AP117" s="299"/>
      <c r="AQ117" s="291"/>
      <c r="AR117" s="59" t="s">
        <v>33</v>
      </c>
      <c r="AS117" s="48">
        <f>COUNTIFS(JOURNAL!F:F,"12",JOURNAL!K:K,"2",JOURNAL!O:O,"OT +")</f>
        <v>0</v>
      </c>
      <c r="AT117" s="291"/>
      <c r="AU117" s="59" t="s">
        <v>33</v>
      </c>
      <c r="AV117" s="48">
        <f>COUNTIFS(JOURNAL!F:F,"12",JOURNAL!K:K,"3",JOURNAL!O:O,"OT +")</f>
        <v>0</v>
      </c>
      <c r="AW117" s="291"/>
      <c r="AX117" s="59" t="s">
        <v>33</v>
      </c>
      <c r="AY117" s="48">
        <f>COUNTIFS(JOURNAL!F:F,"12",JOURNAL!K:K,"4",JOURNAL!O:O,"OT +")</f>
        <v>0</v>
      </c>
      <c r="AZ117" s="291"/>
      <c r="BA117" s="59" t="s">
        <v>33</v>
      </c>
      <c r="BB117" s="48">
        <f>COUNTIFS(JOURNAL!F:F,"12",JOURNAL!K:K,"30",JOURNAL!O:O,"OT +")</f>
        <v>0</v>
      </c>
      <c r="BC117" s="291"/>
      <c r="BD117" s="59" t="s">
        <v>33</v>
      </c>
      <c r="BE117" s="48">
        <f>COUNTIFS(JOURNAL!F:F,"12",JOURNAL!K:K,"50",JOURNAL!O:O,"OT +")</f>
        <v>0</v>
      </c>
      <c r="BF117" s="291"/>
      <c r="BG117" s="59" t="s">
        <v>33</v>
      </c>
      <c r="BH117" s="48">
        <f>COUNTIFS(JOURNAL!F:F,"12",JOURNAL!K:K,"COMPLEX H",JOURNAL!O:O,"OT +")</f>
        <v>0</v>
      </c>
      <c r="BI117" s="291"/>
      <c r="BJ117" s="59" t="s">
        <v>33</v>
      </c>
      <c r="BK117" s="48">
        <f>COUNTIFS(JOURNAL!F:F,"12",JOURNAL!K:K,"COMPLEX D",JOURNAL!O:O,"OT +")</f>
        <v>0</v>
      </c>
      <c r="BL117" s="291"/>
      <c r="BM117" s="59" t="s">
        <v>33</v>
      </c>
      <c r="BN117" s="48">
        <f>COUNTIFS(JOURNAL!F:F,"12",JOURNAL!K:K,"Multi",JOURNAL!O:O,"OT +")</f>
        <v>0</v>
      </c>
      <c r="BO117" s="291"/>
      <c r="BP117" s="59" t="s">
        <v>33</v>
      </c>
      <c r="BQ117" s="48">
        <f>COUNTIFS(JOURNAL!F:F,"12",JOURNAL!K:K,"None",JOURNAL!O:O,"OT +")</f>
        <v>0</v>
      </c>
      <c r="BR117" s="294"/>
      <c r="BS117" s="59" t="s">
        <v>33</v>
      </c>
      <c r="BT117" s="48">
        <f>COUNTIFS(JOURNAL!F:F,"12",JOURNAL!K:K,"Probably Setup",JOURNAL!O:O,"OT +")</f>
        <v>0</v>
      </c>
    </row>
    <row r="118" spans="42:72" ht="15.75" x14ac:dyDescent="0.25">
      <c r="AP118" s="299"/>
      <c r="AQ118" s="291"/>
      <c r="AR118" s="60" t="s">
        <v>34</v>
      </c>
      <c r="AS118" s="48">
        <f>COUNTIFS(JOURNAL!F:F,"12",JOURNAL!K:K,"2",JOURNAL!O:O,"OT -")</f>
        <v>0</v>
      </c>
      <c r="AT118" s="291"/>
      <c r="AU118" s="60" t="s">
        <v>34</v>
      </c>
      <c r="AV118" s="48">
        <f>COUNTIFS(JOURNAL!F:F,"12",JOURNAL!K:K,"3",JOURNAL!O:O,"OT -")</f>
        <v>0</v>
      </c>
      <c r="AW118" s="291"/>
      <c r="AX118" s="60" t="s">
        <v>34</v>
      </c>
      <c r="AY118" s="48">
        <f>COUNTIFS(JOURNAL!F:F,"12",JOURNAL!K:K,"4",JOURNAL!O:O,"OT -")</f>
        <v>0</v>
      </c>
      <c r="AZ118" s="291"/>
      <c r="BA118" s="60" t="s">
        <v>34</v>
      </c>
      <c r="BB118" s="48">
        <f>COUNTIFS(JOURNAL!F:F,"12",JOURNAL!K:K,"30",JOURNAL!O:O,"OT -")</f>
        <v>0</v>
      </c>
      <c r="BC118" s="291"/>
      <c r="BD118" s="60" t="s">
        <v>34</v>
      </c>
      <c r="BE118" s="48">
        <f>COUNTIFS(JOURNAL!F:F,"12",JOURNAL!K:K,"50",JOURNAL!O:O,"OT -")</f>
        <v>0</v>
      </c>
      <c r="BF118" s="291"/>
      <c r="BG118" s="60" t="s">
        <v>34</v>
      </c>
      <c r="BH118" s="48">
        <f>COUNTIFS(JOURNAL!F:F,"12",JOURNAL!K:K,"COMPLEX H",JOURNAL!O:O,"OT -")</f>
        <v>0</v>
      </c>
      <c r="BI118" s="291"/>
      <c r="BJ118" s="60" t="s">
        <v>34</v>
      </c>
      <c r="BK118" s="48">
        <f>COUNTIFS(JOURNAL!F:F,"12",JOURNAL!K:K,"COMPLEX D",JOURNAL!O:O,"OT -")</f>
        <v>0</v>
      </c>
      <c r="BL118" s="291"/>
      <c r="BM118" s="60" t="s">
        <v>34</v>
      </c>
      <c r="BN118" s="48">
        <f>COUNTIFS(JOURNAL!F:F,"12",JOURNAL!K:K,"Multi",JOURNAL!O:O,"OT -")</f>
        <v>0</v>
      </c>
      <c r="BO118" s="291"/>
      <c r="BP118" s="60" t="s">
        <v>34</v>
      </c>
      <c r="BQ118" s="48">
        <f>COUNTIFS(JOURNAL!F:F,"12",JOURNAL!K:K,"None",JOURNAL!O:O,"OT -")</f>
        <v>0</v>
      </c>
      <c r="BR118" s="294"/>
      <c r="BS118" s="60" t="s">
        <v>34</v>
      </c>
      <c r="BT118" s="48">
        <f>COUNTIFS(JOURNAL!F:F,"12",JOURNAL!K:K,"Probably Setup",JOURNAL!O:O,"OT -")</f>
        <v>0</v>
      </c>
    </row>
    <row r="119" spans="42:72" ht="15.75" x14ac:dyDescent="0.25">
      <c r="AP119" s="299"/>
      <c r="AQ119" s="291"/>
      <c r="AR119" s="146" t="s">
        <v>115</v>
      </c>
      <c r="AS119" s="48">
        <f>SUM(AS112:AS118)</f>
        <v>0</v>
      </c>
      <c r="AT119" s="291"/>
      <c r="AU119" s="146" t="s">
        <v>115</v>
      </c>
      <c r="AV119" s="48">
        <f>SUM(AV112:AV118)</f>
        <v>0</v>
      </c>
      <c r="AW119" s="291"/>
      <c r="AX119" s="146" t="s">
        <v>115</v>
      </c>
      <c r="AY119" s="48">
        <f>SUM(AY112:AY118)</f>
        <v>0</v>
      </c>
      <c r="AZ119" s="291"/>
      <c r="BA119" s="146" t="s">
        <v>115</v>
      </c>
      <c r="BB119" s="48">
        <f>SUM(BB112:BB118)</f>
        <v>0</v>
      </c>
      <c r="BC119" s="291"/>
      <c r="BD119" s="146" t="s">
        <v>115</v>
      </c>
      <c r="BE119" s="48">
        <f>SUM(BE112:BE118)</f>
        <v>0</v>
      </c>
      <c r="BF119" s="291"/>
      <c r="BG119" s="146" t="s">
        <v>115</v>
      </c>
      <c r="BH119" s="48">
        <f>SUM(BH112:BH118)</f>
        <v>0</v>
      </c>
      <c r="BI119" s="291"/>
      <c r="BJ119" s="146" t="s">
        <v>115</v>
      </c>
      <c r="BK119" s="48">
        <f>SUM(BK112:BK118)</f>
        <v>0</v>
      </c>
      <c r="BL119" s="291"/>
      <c r="BM119" s="146" t="s">
        <v>115</v>
      </c>
      <c r="BN119" s="48">
        <f>SUM(BN112:BN118)</f>
        <v>0</v>
      </c>
      <c r="BO119" s="291"/>
      <c r="BP119" s="146" t="s">
        <v>115</v>
      </c>
      <c r="BQ119" s="48">
        <f>SUM(BQ112:BQ118)</f>
        <v>0</v>
      </c>
      <c r="BR119" s="294"/>
      <c r="BS119" s="146" t="s">
        <v>115</v>
      </c>
      <c r="BT119" s="48">
        <f>SUM(BT112:BT118)</f>
        <v>0</v>
      </c>
    </row>
    <row r="120" spans="42:72" ht="15.75" x14ac:dyDescent="0.25">
      <c r="AP120" s="299"/>
      <c r="AQ120" s="292"/>
      <c r="AR120" s="191" t="s">
        <v>44</v>
      </c>
      <c r="AS120" s="48" t="e">
        <f>SUM(AS112,AS114,AS115,AS117)/AS119</f>
        <v>#DIV/0!</v>
      </c>
      <c r="AT120" s="292"/>
      <c r="AU120" s="191" t="s">
        <v>44</v>
      </c>
      <c r="AV120" s="48" t="e">
        <f>SUM(AV112,AV114,AV115,AV117)/AV119</f>
        <v>#DIV/0!</v>
      </c>
      <c r="AW120" s="292"/>
      <c r="AX120" s="191" t="s">
        <v>44</v>
      </c>
      <c r="AY120" s="48" t="e">
        <f>SUM(AY112,AY114,AY115,AY117)/AY119</f>
        <v>#DIV/0!</v>
      </c>
      <c r="AZ120" s="292"/>
      <c r="BA120" s="191" t="s">
        <v>44</v>
      </c>
      <c r="BB120" s="48" t="e">
        <f>SUM(BB112,BB114,BB115,BB117)/BB119</f>
        <v>#DIV/0!</v>
      </c>
      <c r="BC120" s="292"/>
      <c r="BD120" s="191" t="s">
        <v>44</v>
      </c>
      <c r="BE120" s="48" t="e">
        <f>SUM(BE112,BE114,BE115,BE117)/BE119</f>
        <v>#DIV/0!</v>
      </c>
      <c r="BF120" s="292"/>
      <c r="BG120" s="191" t="s">
        <v>44</v>
      </c>
      <c r="BH120" s="48" t="e">
        <f>SUM(BH112,BH114,BH115,BH117)/BH119</f>
        <v>#DIV/0!</v>
      </c>
      <c r="BI120" s="292"/>
      <c r="BJ120" s="191" t="s">
        <v>44</v>
      </c>
      <c r="BK120" s="48" t="e">
        <f>SUM(BK112,BK114,BK115,BK117)/BK119</f>
        <v>#DIV/0!</v>
      </c>
      <c r="BL120" s="292"/>
      <c r="BM120" s="191" t="s">
        <v>44</v>
      </c>
      <c r="BN120" s="48" t="e">
        <f>SUM(BN112,BN114,BN115,BN117)/BN119</f>
        <v>#DIV/0!</v>
      </c>
      <c r="BO120" s="292"/>
      <c r="BP120" s="191" t="s">
        <v>44</v>
      </c>
      <c r="BQ120" s="48" t="e">
        <f>SUM(BQ112,BQ114,BQ115,BQ117)/BQ119</f>
        <v>#DIV/0!</v>
      </c>
      <c r="BR120" s="295"/>
      <c r="BS120" s="191" t="s">
        <v>44</v>
      </c>
      <c r="BT120" s="48" t="e">
        <f>SUM(BT112,BT114,BT115,BT117)/BT119</f>
        <v>#DIV/0!</v>
      </c>
    </row>
  </sheetData>
  <sheetProtection algorithmName="SHA-512" hashValue="1VeXd35VAq1dr+zGiuWYY+4O+jGy4zxqSwe0EAT8PHrG5JC7fHkkby61L+wNVfdb46fr8iHKjPYVUQ+P25QFlw==" saltValue="RfqFiCGqWJOltY6Q5yLMNQ==" spinCount="100000" sheet="1" objects="1" scenarios="1"/>
  <mergeCells count="172">
    <mergeCell ref="AP112:AP120"/>
    <mergeCell ref="AQ112:AQ120"/>
    <mergeCell ref="AT112:AT120"/>
    <mergeCell ref="AW112:AW120"/>
    <mergeCell ref="AZ112:AZ120"/>
    <mergeCell ref="BC112:BC120"/>
    <mergeCell ref="BF112:BF120"/>
    <mergeCell ref="BI112:BI120"/>
    <mergeCell ref="BL112:BL120"/>
    <mergeCell ref="BC102:BC110"/>
    <mergeCell ref="BF102:BF110"/>
    <mergeCell ref="BI102:BI110"/>
    <mergeCell ref="BL102:BL110"/>
    <mergeCell ref="AP102:AP110"/>
    <mergeCell ref="AQ102:AQ110"/>
    <mergeCell ref="AT102:AT110"/>
    <mergeCell ref="AW102:AW110"/>
    <mergeCell ref="AZ102:AZ110"/>
    <mergeCell ref="AP92:AP100"/>
    <mergeCell ref="AQ92:AQ100"/>
    <mergeCell ref="AT92:AT100"/>
    <mergeCell ref="AW92:AW100"/>
    <mergeCell ref="AZ92:AZ100"/>
    <mergeCell ref="BC92:BC100"/>
    <mergeCell ref="BF92:BF100"/>
    <mergeCell ref="BI92:BI100"/>
    <mergeCell ref="BL92:BL100"/>
    <mergeCell ref="BC82:BC90"/>
    <mergeCell ref="BF82:BF90"/>
    <mergeCell ref="BI82:BI90"/>
    <mergeCell ref="BL82:BL90"/>
    <mergeCell ref="AP82:AP90"/>
    <mergeCell ref="AQ82:AQ90"/>
    <mergeCell ref="AT82:AT90"/>
    <mergeCell ref="AW82:AW90"/>
    <mergeCell ref="AZ82:AZ90"/>
    <mergeCell ref="AP72:AP80"/>
    <mergeCell ref="AQ72:AQ80"/>
    <mergeCell ref="AT72:AT80"/>
    <mergeCell ref="AW72:AW80"/>
    <mergeCell ref="AZ72:AZ80"/>
    <mergeCell ref="BC72:BC80"/>
    <mergeCell ref="BF72:BF80"/>
    <mergeCell ref="BI72:BI80"/>
    <mergeCell ref="BL72:BL80"/>
    <mergeCell ref="BC62:BC70"/>
    <mergeCell ref="BF62:BF70"/>
    <mergeCell ref="BI62:BI70"/>
    <mergeCell ref="BL62:BL70"/>
    <mergeCell ref="AP62:AP70"/>
    <mergeCell ref="AQ62:AQ70"/>
    <mergeCell ref="AT62:AT70"/>
    <mergeCell ref="AW62:AW70"/>
    <mergeCell ref="AZ62:AZ70"/>
    <mergeCell ref="AP52:AP60"/>
    <mergeCell ref="AQ52:AQ60"/>
    <mergeCell ref="AT52:AT60"/>
    <mergeCell ref="AW52:AW60"/>
    <mergeCell ref="AZ52:AZ60"/>
    <mergeCell ref="BC52:BC60"/>
    <mergeCell ref="BF52:BF60"/>
    <mergeCell ref="BI52:BI60"/>
    <mergeCell ref="BL52:BL60"/>
    <mergeCell ref="BC42:BC50"/>
    <mergeCell ref="BF42:BF50"/>
    <mergeCell ref="BI42:BI50"/>
    <mergeCell ref="BL42:BL50"/>
    <mergeCell ref="AP42:AP50"/>
    <mergeCell ref="AQ42:AQ50"/>
    <mergeCell ref="AT42:AT50"/>
    <mergeCell ref="AW42:AW50"/>
    <mergeCell ref="AZ42:AZ50"/>
    <mergeCell ref="AP32:AP40"/>
    <mergeCell ref="AQ32:AQ40"/>
    <mergeCell ref="AT32:AT40"/>
    <mergeCell ref="AW32:AW40"/>
    <mergeCell ref="AZ32:AZ40"/>
    <mergeCell ref="BC32:BC40"/>
    <mergeCell ref="BF32:BF40"/>
    <mergeCell ref="BI32:BI40"/>
    <mergeCell ref="BL32:BL40"/>
    <mergeCell ref="BC22:BC30"/>
    <mergeCell ref="BF22:BF30"/>
    <mergeCell ref="BI22:BI30"/>
    <mergeCell ref="BL22:BL30"/>
    <mergeCell ref="AP22:AP30"/>
    <mergeCell ref="AQ22:AQ30"/>
    <mergeCell ref="AT22:AT30"/>
    <mergeCell ref="AW22:AW30"/>
    <mergeCell ref="AZ22:AZ30"/>
    <mergeCell ref="AP12:AP20"/>
    <mergeCell ref="AQ12:AQ20"/>
    <mergeCell ref="AT12:AT20"/>
    <mergeCell ref="AW12:AW20"/>
    <mergeCell ref="AZ12:AZ20"/>
    <mergeCell ref="BC12:BC20"/>
    <mergeCell ref="BF12:BF20"/>
    <mergeCell ref="BI12:BI20"/>
    <mergeCell ref="BL12:BL20"/>
    <mergeCell ref="BC2:BC10"/>
    <mergeCell ref="BF2:BF10"/>
    <mergeCell ref="BI2:BI10"/>
    <mergeCell ref="BL2:BL10"/>
    <mergeCell ref="AP2:AP10"/>
    <mergeCell ref="AQ2:AQ10"/>
    <mergeCell ref="AT2:AT10"/>
    <mergeCell ref="AW2:AW10"/>
    <mergeCell ref="AZ2:AZ10"/>
    <mergeCell ref="P26:Q27"/>
    <mergeCell ref="O28:O33"/>
    <mergeCell ref="C26:C27"/>
    <mergeCell ref="D26:E27"/>
    <mergeCell ref="C28:C33"/>
    <mergeCell ref="I2:M2"/>
    <mergeCell ref="I3:I4"/>
    <mergeCell ref="J3:K4"/>
    <mergeCell ref="I5:I10"/>
    <mergeCell ref="I25:M25"/>
    <mergeCell ref="I26:I27"/>
    <mergeCell ref="C2:G2"/>
    <mergeCell ref="C3:C4"/>
    <mergeCell ref="D3:E4"/>
    <mergeCell ref="C5:C10"/>
    <mergeCell ref="J26:K27"/>
    <mergeCell ref="I28:I33"/>
    <mergeCell ref="C25:G25"/>
    <mergeCell ref="C48:G48"/>
    <mergeCell ref="C49:C50"/>
    <mergeCell ref="D49:E50"/>
    <mergeCell ref="C51:C56"/>
    <mergeCell ref="I48:M48"/>
    <mergeCell ref="I49:I50"/>
    <mergeCell ref="J49:K50"/>
    <mergeCell ref="I51:I56"/>
    <mergeCell ref="BO2:BO10"/>
    <mergeCell ref="BO52:BO60"/>
    <mergeCell ref="U2:Y2"/>
    <mergeCell ref="U3:U4"/>
    <mergeCell ref="V3:W4"/>
    <mergeCell ref="U5:U10"/>
    <mergeCell ref="U25:Y25"/>
    <mergeCell ref="U26:U27"/>
    <mergeCell ref="V26:W27"/>
    <mergeCell ref="U28:U33"/>
    <mergeCell ref="O2:S2"/>
    <mergeCell ref="O3:O4"/>
    <mergeCell ref="P3:Q4"/>
    <mergeCell ref="O5:O10"/>
    <mergeCell ref="O25:S25"/>
    <mergeCell ref="O26:O27"/>
    <mergeCell ref="BR2:BR10"/>
    <mergeCell ref="BO12:BO20"/>
    <mergeCell ref="BR12:BR20"/>
    <mergeCell ref="BO22:BO30"/>
    <mergeCell ref="BR22:BR30"/>
    <mergeCell ref="BO32:BO40"/>
    <mergeCell ref="BR32:BR40"/>
    <mergeCell ref="BO42:BO50"/>
    <mergeCell ref="BR42:BR50"/>
    <mergeCell ref="BO102:BO110"/>
    <mergeCell ref="BR102:BR110"/>
    <mergeCell ref="BO112:BO120"/>
    <mergeCell ref="BR112:BR120"/>
    <mergeCell ref="BR52:BR60"/>
    <mergeCell ref="BO62:BO70"/>
    <mergeCell ref="BR62:BR70"/>
    <mergeCell ref="BO72:BO80"/>
    <mergeCell ref="BR72:BR80"/>
    <mergeCell ref="BO82:BO90"/>
    <mergeCell ref="BR82:BR90"/>
    <mergeCell ref="BO92:BO100"/>
    <mergeCell ref="BR92:BR100"/>
  </mergeCells>
  <conditionalFormatting sqref="G10">
    <cfRule type="cellIs" dxfId="707" priority="875" operator="lessThan">
      <formula>0</formula>
    </cfRule>
    <cfRule type="cellIs" dxfId="706" priority="876" operator="greaterThan">
      <formula>0</formula>
    </cfRule>
    <cfRule type="cellIs" dxfId="705" priority="877" operator="equal">
      <formula>0</formula>
    </cfRule>
    <cfRule type="cellIs" dxfId="704" priority="878" operator="equal">
      <formula>0</formula>
    </cfRule>
    <cfRule type="cellIs" dxfId="703" priority="879" operator="equal">
      <formula>0</formula>
    </cfRule>
  </conditionalFormatting>
  <conditionalFormatting sqref="G33">
    <cfRule type="cellIs" dxfId="702" priority="867" operator="lessThan">
      <formula>0</formula>
    </cfRule>
    <cfRule type="cellIs" dxfId="701" priority="868" operator="greaterThan">
      <formula>0</formula>
    </cfRule>
    <cfRule type="cellIs" dxfId="700" priority="869" operator="equal">
      <formula>0</formula>
    </cfRule>
    <cfRule type="cellIs" dxfId="699" priority="870" operator="equal">
      <formula>0</formula>
    </cfRule>
    <cfRule type="cellIs" dxfId="698" priority="871" operator="equal">
      <formula>0</formula>
    </cfRule>
  </conditionalFormatting>
  <conditionalFormatting sqref="M10">
    <cfRule type="cellIs" dxfId="697" priority="859" operator="lessThan">
      <formula>0</formula>
    </cfRule>
    <cfRule type="cellIs" dxfId="696" priority="860" operator="greaterThan">
      <formula>0</formula>
    </cfRule>
    <cfRule type="cellIs" dxfId="695" priority="861" operator="equal">
      <formula>0</formula>
    </cfRule>
    <cfRule type="cellIs" dxfId="694" priority="862" operator="equal">
      <formula>0</formula>
    </cfRule>
    <cfRule type="cellIs" dxfId="693" priority="863" operator="equal">
      <formula>0</formula>
    </cfRule>
  </conditionalFormatting>
  <conditionalFormatting sqref="M33">
    <cfRule type="cellIs" dxfId="692" priority="851" operator="lessThan">
      <formula>0</formula>
    </cfRule>
    <cfRule type="cellIs" dxfId="691" priority="852" operator="greaterThan">
      <formula>0</formula>
    </cfRule>
    <cfRule type="cellIs" dxfId="690" priority="853" operator="equal">
      <formula>0</formula>
    </cfRule>
    <cfRule type="cellIs" dxfId="689" priority="854" operator="equal">
      <formula>0</formula>
    </cfRule>
    <cfRule type="cellIs" dxfId="688" priority="855" operator="equal">
      <formula>0</formula>
    </cfRule>
  </conditionalFormatting>
  <conditionalFormatting sqref="S10">
    <cfRule type="cellIs" dxfId="687" priority="843" operator="lessThan">
      <formula>0</formula>
    </cfRule>
    <cfRule type="cellIs" dxfId="686" priority="844" operator="greaterThan">
      <formula>0</formula>
    </cfRule>
    <cfRule type="cellIs" dxfId="685" priority="845" operator="equal">
      <formula>0</formula>
    </cfRule>
    <cfRule type="cellIs" dxfId="684" priority="846" operator="equal">
      <formula>0</formula>
    </cfRule>
    <cfRule type="cellIs" dxfId="683" priority="847" operator="equal">
      <formula>0</formula>
    </cfRule>
  </conditionalFormatting>
  <conditionalFormatting sqref="S33">
    <cfRule type="cellIs" dxfId="682" priority="835" operator="lessThan">
      <formula>0</formula>
    </cfRule>
    <cfRule type="cellIs" dxfId="681" priority="836" operator="greaterThan">
      <formula>0</formula>
    </cfRule>
    <cfRule type="cellIs" dxfId="680" priority="837" operator="equal">
      <formula>0</formula>
    </cfRule>
    <cfRule type="cellIs" dxfId="679" priority="838" operator="equal">
      <formula>0</formula>
    </cfRule>
    <cfRule type="cellIs" dxfId="678" priority="839" operator="equal">
      <formula>0</formula>
    </cfRule>
  </conditionalFormatting>
  <conditionalFormatting sqref="Y10">
    <cfRule type="cellIs" dxfId="677" priority="830" operator="lessThan">
      <formula>0</formula>
    </cfRule>
    <cfRule type="cellIs" dxfId="676" priority="831" operator="greaterThan">
      <formula>0</formula>
    </cfRule>
    <cfRule type="cellIs" dxfId="675" priority="832" operator="equal">
      <formula>0</formula>
    </cfRule>
    <cfRule type="cellIs" dxfId="674" priority="833" operator="equal">
      <formula>0</formula>
    </cfRule>
    <cfRule type="cellIs" dxfId="673" priority="834" operator="equal">
      <formula>0</formula>
    </cfRule>
  </conditionalFormatting>
  <conditionalFormatting sqref="Y33">
    <cfRule type="cellIs" dxfId="672" priority="825" operator="lessThan">
      <formula>0</formula>
    </cfRule>
    <cfRule type="cellIs" dxfId="671" priority="826" operator="greaterThan">
      <formula>0</formula>
    </cfRule>
    <cfRule type="cellIs" dxfId="670" priority="827" operator="equal">
      <formula>0</formula>
    </cfRule>
    <cfRule type="cellIs" dxfId="669" priority="828" operator="equal">
      <formula>0</formula>
    </cfRule>
    <cfRule type="cellIs" dxfId="668" priority="829" operator="equal">
      <formula>0</formula>
    </cfRule>
  </conditionalFormatting>
  <conditionalFormatting sqref="W10 Q10 S10 Y10 K10 M10 G10 E10">
    <cfRule type="cellIs" dxfId="667" priority="822" operator="lessThan">
      <formula>0</formula>
    </cfRule>
    <cfRule type="cellIs" dxfId="666" priority="823" operator="greaterThan">
      <formula>0</formula>
    </cfRule>
    <cfRule type="cellIs" dxfId="665" priority="824" operator="equal">
      <formula>0</formula>
    </cfRule>
  </conditionalFormatting>
  <conditionalFormatting sqref="E33">
    <cfRule type="cellIs" dxfId="664" priority="819" operator="lessThan">
      <formula>0</formula>
    </cfRule>
    <cfRule type="cellIs" dxfId="663" priority="820" operator="greaterThan">
      <formula>0</formula>
    </cfRule>
    <cfRule type="cellIs" dxfId="662" priority="821" operator="equal">
      <formula>0</formula>
    </cfRule>
  </conditionalFormatting>
  <conditionalFormatting sqref="K33">
    <cfRule type="cellIs" dxfId="661" priority="816" operator="lessThan">
      <formula>0</formula>
    </cfRule>
    <cfRule type="cellIs" dxfId="660" priority="817" operator="greaterThan">
      <formula>0</formula>
    </cfRule>
    <cfRule type="cellIs" dxfId="659" priority="818" operator="equal">
      <formula>0</formula>
    </cfRule>
  </conditionalFormatting>
  <conditionalFormatting sqref="Q33">
    <cfRule type="cellIs" dxfId="658" priority="813" operator="lessThan">
      <formula>0</formula>
    </cfRule>
    <cfRule type="cellIs" dxfId="657" priority="814" operator="greaterThan">
      <formula>0</formula>
    </cfRule>
    <cfRule type="cellIs" dxfId="656" priority="815" operator="equal">
      <formula>0</formula>
    </cfRule>
  </conditionalFormatting>
  <conditionalFormatting sqref="W33">
    <cfRule type="cellIs" dxfId="655" priority="810" operator="lessThan">
      <formula>0</formula>
    </cfRule>
    <cfRule type="cellIs" dxfId="654" priority="811" operator="greaterThan">
      <formula>0</formula>
    </cfRule>
    <cfRule type="cellIs" dxfId="653" priority="812" operator="equal">
      <formula>0</formula>
    </cfRule>
  </conditionalFormatting>
  <conditionalFormatting sqref="W33 S33 Q33 M33 K33 G33 E33 Y33">
    <cfRule type="cellIs" dxfId="652" priority="807" operator="lessThan">
      <formula>0</formula>
    </cfRule>
    <cfRule type="cellIs" dxfId="651" priority="808" operator="greaterThan">
      <formula>0</formula>
    </cfRule>
    <cfRule type="cellIs" dxfId="650" priority="809" operator="equal">
      <formula>0</formula>
    </cfRule>
  </conditionalFormatting>
  <conditionalFormatting sqref="Y33">
    <cfRule type="cellIs" dxfId="649" priority="802" operator="lessThan">
      <formula>0</formula>
    </cfRule>
    <cfRule type="cellIs" dxfId="648" priority="803" operator="greaterThan">
      <formula>0</formula>
    </cfRule>
    <cfRule type="cellIs" dxfId="647" priority="804" operator="equal">
      <formula>0</formula>
    </cfRule>
    <cfRule type="cellIs" dxfId="646" priority="805" operator="equal">
      <formula>0</formula>
    </cfRule>
    <cfRule type="cellIs" dxfId="645" priority="806" operator="equal">
      <formula>0</formula>
    </cfRule>
  </conditionalFormatting>
  <conditionalFormatting sqref="AS10">
    <cfRule type="cellIs" dxfId="644" priority="799" operator="lessThan">
      <formula>0</formula>
    </cfRule>
    <cfRule type="cellIs" dxfId="643" priority="800" operator="greaterThan">
      <formula>0</formula>
    </cfRule>
    <cfRule type="cellIs" dxfId="642" priority="801" operator="equal">
      <formula>0</formula>
    </cfRule>
  </conditionalFormatting>
  <conditionalFormatting sqref="AV10">
    <cfRule type="cellIs" dxfId="641" priority="403" operator="lessThan">
      <formula>0</formula>
    </cfRule>
    <cfRule type="cellIs" dxfId="640" priority="404" operator="greaterThan">
      <formula>0</formula>
    </cfRule>
    <cfRule type="cellIs" dxfId="639" priority="405" operator="equal">
      <formula>0</formula>
    </cfRule>
  </conditionalFormatting>
  <conditionalFormatting sqref="AY10">
    <cfRule type="cellIs" dxfId="638" priority="400" operator="lessThan">
      <formula>0</formula>
    </cfRule>
    <cfRule type="cellIs" dxfId="637" priority="401" operator="greaterThan">
      <formula>0</formula>
    </cfRule>
    <cfRule type="cellIs" dxfId="636" priority="402" operator="equal">
      <formula>0</formula>
    </cfRule>
  </conditionalFormatting>
  <conditionalFormatting sqref="BB10">
    <cfRule type="cellIs" dxfId="635" priority="397" operator="lessThan">
      <formula>0</formula>
    </cfRule>
    <cfRule type="cellIs" dxfId="634" priority="398" operator="greaterThan">
      <formula>0</formula>
    </cfRule>
    <cfRule type="cellIs" dxfId="633" priority="399" operator="equal">
      <formula>0</formula>
    </cfRule>
  </conditionalFormatting>
  <conditionalFormatting sqref="BE10">
    <cfRule type="cellIs" dxfId="632" priority="394" operator="lessThan">
      <formula>0</formula>
    </cfRule>
    <cfRule type="cellIs" dxfId="631" priority="395" operator="greaterThan">
      <formula>0</formula>
    </cfRule>
    <cfRule type="cellIs" dxfId="630" priority="396" operator="equal">
      <formula>0</formula>
    </cfRule>
  </conditionalFormatting>
  <conditionalFormatting sqref="BH10">
    <cfRule type="cellIs" dxfId="629" priority="391" operator="lessThan">
      <formula>0</formula>
    </cfRule>
    <cfRule type="cellIs" dxfId="628" priority="392" operator="greaterThan">
      <formula>0</formula>
    </cfRule>
    <cfRule type="cellIs" dxfId="627" priority="393" operator="equal">
      <formula>0</formula>
    </cfRule>
  </conditionalFormatting>
  <conditionalFormatting sqref="BK10">
    <cfRule type="cellIs" dxfId="626" priority="388" operator="lessThan">
      <formula>0</formula>
    </cfRule>
    <cfRule type="cellIs" dxfId="625" priority="389" operator="greaterThan">
      <formula>0</formula>
    </cfRule>
    <cfRule type="cellIs" dxfId="624" priority="390" operator="equal">
      <formula>0</formula>
    </cfRule>
  </conditionalFormatting>
  <conditionalFormatting sqref="BN10">
    <cfRule type="cellIs" dxfId="623" priority="385" operator="lessThan">
      <formula>0</formula>
    </cfRule>
    <cfRule type="cellIs" dxfId="622" priority="386" operator="greaterThan">
      <formula>0</formula>
    </cfRule>
    <cfRule type="cellIs" dxfId="621" priority="387" operator="equal">
      <formula>0</formula>
    </cfRule>
  </conditionalFormatting>
  <conditionalFormatting sqref="BN20">
    <cfRule type="cellIs" dxfId="620" priority="382" operator="lessThan">
      <formula>0</formula>
    </cfRule>
    <cfRule type="cellIs" dxfId="619" priority="383" operator="greaterThan">
      <formula>0</formula>
    </cfRule>
    <cfRule type="cellIs" dxfId="618" priority="384" operator="equal">
      <formula>0</formula>
    </cfRule>
  </conditionalFormatting>
  <conditionalFormatting sqref="BK20">
    <cfRule type="cellIs" dxfId="617" priority="379" operator="lessThan">
      <formula>0</formula>
    </cfRule>
    <cfRule type="cellIs" dxfId="616" priority="380" operator="greaterThan">
      <formula>0</formula>
    </cfRule>
    <cfRule type="cellIs" dxfId="615" priority="381" operator="equal">
      <formula>0</formula>
    </cfRule>
  </conditionalFormatting>
  <conditionalFormatting sqref="BH20">
    <cfRule type="cellIs" dxfId="614" priority="376" operator="lessThan">
      <formula>0</formula>
    </cfRule>
    <cfRule type="cellIs" dxfId="613" priority="377" operator="greaterThan">
      <formula>0</formula>
    </cfRule>
    <cfRule type="cellIs" dxfId="612" priority="378" operator="equal">
      <formula>0</formula>
    </cfRule>
  </conditionalFormatting>
  <conditionalFormatting sqref="BE20">
    <cfRule type="cellIs" dxfId="611" priority="373" operator="lessThan">
      <formula>0</formula>
    </cfRule>
    <cfRule type="cellIs" dxfId="610" priority="374" operator="greaterThan">
      <formula>0</formula>
    </cfRule>
    <cfRule type="cellIs" dxfId="609" priority="375" operator="equal">
      <formula>0</formula>
    </cfRule>
  </conditionalFormatting>
  <conditionalFormatting sqref="BB20">
    <cfRule type="cellIs" dxfId="608" priority="370" operator="lessThan">
      <formula>0</formula>
    </cfRule>
    <cfRule type="cellIs" dxfId="607" priority="371" operator="greaterThan">
      <formula>0</formula>
    </cfRule>
    <cfRule type="cellIs" dxfId="606" priority="372" operator="equal">
      <formula>0</formula>
    </cfRule>
  </conditionalFormatting>
  <conditionalFormatting sqref="AY20">
    <cfRule type="cellIs" dxfId="605" priority="367" operator="lessThan">
      <formula>0</formula>
    </cfRule>
    <cfRule type="cellIs" dxfId="604" priority="368" operator="greaterThan">
      <formula>0</formula>
    </cfRule>
    <cfRule type="cellIs" dxfId="603" priority="369" operator="equal">
      <formula>0</formula>
    </cfRule>
  </conditionalFormatting>
  <conditionalFormatting sqref="AV20">
    <cfRule type="cellIs" dxfId="602" priority="364" operator="lessThan">
      <formula>0</formula>
    </cfRule>
    <cfRule type="cellIs" dxfId="601" priority="365" operator="greaterThan">
      <formula>0</formula>
    </cfRule>
    <cfRule type="cellIs" dxfId="600" priority="366" operator="equal">
      <formula>0</formula>
    </cfRule>
  </conditionalFormatting>
  <conditionalFormatting sqref="AS20">
    <cfRule type="cellIs" dxfId="599" priority="361" operator="lessThan">
      <formula>0</formula>
    </cfRule>
    <cfRule type="cellIs" dxfId="598" priority="362" operator="greaterThan">
      <formula>0</formula>
    </cfRule>
    <cfRule type="cellIs" dxfId="597" priority="363" operator="equal">
      <formula>0</formula>
    </cfRule>
  </conditionalFormatting>
  <conditionalFormatting sqref="AS30">
    <cfRule type="cellIs" dxfId="596" priority="358" operator="lessThan">
      <formula>0</formula>
    </cfRule>
    <cfRule type="cellIs" dxfId="595" priority="359" operator="greaterThan">
      <formula>0</formula>
    </cfRule>
    <cfRule type="cellIs" dxfId="594" priority="360" operator="equal">
      <formula>0</formula>
    </cfRule>
  </conditionalFormatting>
  <conditionalFormatting sqref="AV30">
    <cfRule type="cellIs" dxfId="593" priority="355" operator="lessThan">
      <formula>0</formula>
    </cfRule>
    <cfRule type="cellIs" dxfId="592" priority="356" operator="greaterThan">
      <formula>0</formula>
    </cfRule>
    <cfRule type="cellIs" dxfId="591" priority="357" operator="equal">
      <formula>0</formula>
    </cfRule>
  </conditionalFormatting>
  <conditionalFormatting sqref="AY30">
    <cfRule type="cellIs" dxfId="590" priority="352" operator="lessThan">
      <formula>0</formula>
    </cfRule>
    <cfRule type="cellIs" dxfId="589" priority="353" operator="greaterThan">
      <formula>0</formula>
    </cfRule>
    <cfRule type="cellIs" dxfId="588" priority="354" operator="equal">
      <formula>0</formula>
    </cfRule>
  </conditionalFormatting>
  <conditionalFormatting sqref="BB30">
    <cfRule type="cellIs" dxfId="587" priority="349" operator="lessThan">
      <formula>0</formula>
    </cfRule>
    <cfRule type="cellIs" dxfId="586" priority="350" operator="greaterThan">
      <formula>0</formula>
    </cfRule>
    <cfRule type="cellIs" dxfId="585" priority="351" operator="equal">
      <formula>0</formula>
    </cfRule>
  </conditionalFormatting>
  <conditionalFormatting sqref="BE30">
    <cfRule type="cellIs" dxfId="584" priority="346" operator="lessThan">
      <formula>0</formula>
    </cfRule>
    <cfRule type="cellIs" dxfId="583" priority="347" operator="greaterThan">
      <formula>0</formula>
    </cfRule>
    <cfRule type="cellIs" dxfId="582" priority="348" operator="equal">
      <formula>0</formula>
    </cfRule>
  </conditionalFormatting>
  <conditionalFormatting sqref="BH30">
    <cfRule type="cellIs" dxfId="581" priority="343" operator="lessThan">
      <formula>0</formula>
    </cfRule>
    <cfRule type="cellIs" dxfId="580" priority="344" operator="greaterThan">
      <formula>0</formula>
    </cfRule>
    <cfRule type="cellIs" dxfId="579" priority="345" operator="equal">
      <formula>0</formula>
    </cfRule>
  </conditionalFormatting>
  <conditionalFormatting sqref="BK30">
    <cfRule type="cellIs" dxfId="578" priority="340" operator="lessThan">
      <formula>0</formula>
    </cfRule>
    <cfRule type="cellIs" dxfId="577" priority="341" operator="greaterThan">
      <formula>0</formula>
    </cfRule>
    <cfRule type="cellIs" dxfId="576" priority="342" operator="equal">
      <formula>0</formula>
    </cfRule>
  </conditionalFormatting>
  <conditionalFormatting sqref="BN30">
    <cfRule type="cellIs" dxfId="575" priority="337" operator="lessThan">
      <formula>0</formula>
    </cfRule>
    <cfRule type="cellIs" dxfId="574" priority="338" operator="greaterThan">
      <formula>0</formula>
    </cfRule>
    <cfRule type="cellIs" dxfId="573" priority="339" operator="equal">
      <formula>0</formula>
    </cfRule>
  </conditionalFormatting>
  <conditionalFormatting sqref="BN40">
    <cfRule type="cellIs" dxfId="572" priority="334" operator="lessThan">
      <formula>0</formula>
    </cfRule>
    <cfRule type="cellIs" dxfId="571" priority="335" operator="greaterThan">
      <formula>0</formula>
    </cfRule>
    <cfRule type="cellIs" dxfId="570" priority="336" operator="equal">
      <formula>0</formula>
    </cfRule>
  </conditionalFormatting>
  <conditionalFormatting sqref="BK40">
    <cfRule type="cellIs" dxfId="569" priority="331" operator="lessThan">
      <formula>0</formula>
    </cfRule>
    <cfRule type="cellIs" dxfId="568" priority="332" operator="greaterThan">
      <formula>0</formula>
    </cfRule>
    <cfRule type="cellIs" dxfId="567" priority="333" operator="equal">
      <formula>0</formula>
    </cfRule>
  </conditionalFormatting>
  <conditionalFormatting sqref="BH40">
    <cfRule type="cellIs" dxfId="566" priority="328" operator="lessThan">
      <formula>0</formula>
    </cfRule>
    <cfRule type="cellIs" dxfId="565" priority="329" operator="greaterThan">
      <formula>0</formula>
    </cfRule>
    <cfRule type="cellIs" dxfId="564" priority="330" operator="equal">
      <formula>0</formula>
    </cfRule>
  </conditionalFormatting>
  <conditionalFormatting sqref="BE40">
    <cfRule type="cellIs" dxfId="563" priority="325" operator="lessThan">
      <formula>0</formula>
    </cfRule>
    <cfRule type="cellIs" dxfId="562" priority="326" operator="greaterThan">
      <formula>0</formula>
    </cfRule>
    <cfRule type="cellIs" dxfId="561" priority="327" operator="equal">
      <formula>0</formula>
    </cfRule>
  </conditionalFormatting>
  <conditionalFormatting sqref="BB40">
    <cfRule type="cellIs" dxfId="560" priority="322" operator="lessThan">
      <formula>0</formula>
    </cfRule>
    <cfRule type="cellIs" dxfId="559" priority="323" operator="greaterThan">
      <formula>0</formula>
    </cfRule>
    <cfRule type="cellIs" dxfId="558" priority="324" operator="equal">
      <formula>0</formula>
    </cfRule>
  </conditionalFormatting>
  <conditionalFormatting sqref="AY40">
    <cfRule type="cellIs" dxfId="557" priority="319" operator="lessThan">
      <formula>0</formula>
    </cfRule>
    <cfRule type="cellIs" dxfId="556" priority="320" operator="greaterThan">
      <formula>0</formula>
    </cfRule>
    <cfRule type="cellIs" dxfId="555" priority="321" operator="equal">
      <formula>0</formula>
    </cfRule>
  </conditionalFormatting>
  <conditionalFormatting sqref="AV40">
    <cfRule type="cellIs" dxfId="554" priority="316" operator="lessThan">
      <formula>0</formula>
    </cfRule>
    <cfRule type="cellIs" dxfId="553" priority="317" operator="greaterThan">
      <formula>0</formula>
    </cfRule>
    <cfRule type="cellIs" dxfId="552" priority="318" operator="equal">
      <formula>0</formula>
    </cfRule>
  </conditionalFormatting>
  <conditionalFormatting sqref="AS40">
    <cfRule type="cellIs" dxfId="551" priority="313" operator="lessThan">
      <formula>0</formula>
    </cfRule>
    <cfRule type="cellIs" dxfId="550" priority="314" operator="greaterThan">
      <formula>0</formula>
    </cfRule>
    <cfRule type="cellIs" dxfId="549" priority="315" operator="equal">
      <formula>0</formula>
    </cfRule>
  </conditionalFormatting>
  <conditionalFormatting sqref="AS50">
    <cfRule type="cellIs" dxfId="548" priority="310" operator="lessThan">
      <formula>0</formula>
    </cfRule>
    <cfRule type="cellIs" dxfId="547" priority="311" operator="greaterThan">
      <formula>0</formula>
    </cfRule>
    <cfRule type="cellIs" dxfId="546" priority="312" operator="equal">
      <formula>0</formula>
    </cfRule>
  </conditionalFormatting>
  <conditionalFormatting sqref="AV50">
    <cfRule type="cellIs" dxfId="545" priority="307" operator="lessThan">
      <formula>0</formula>
    </cfRule>
    <cfRule type="cellIs" dxfId="544" priority="308" operator="greaterThan">
      <formula>0</formula>
    </cfRule>
    <cfRule type="cellIs" dxfId="543" priority="309" operator="equal">
      <formula>0</formula>
    </cfRule>
  </conditionalFormatting>
  <conditionalFormatting sqref="AY50">
    <cfRule type="cellIs" dxfId="542" priority="304" operator="lessThan">
      <formula>0</formula>
    </cfRule>
    <cfRule type="cellIs" dxfId="541" priority="305" operator="greaterThan">
      <formula>0</formula>
    </cfRule>
    <cfRule type="cellIs" dxfId="540" priority="306" operator="equal">
      <formula>0</formula>
    </cfRule>
  </conditionalFormatting>
  <conditionalFormatting sqref="BB50">
    <cfRule type="cellIs" dxfId="539" priority="301" operator="lessThan">
      <formula>0</formula>
    </cfRule>
    <cfRule type="cellIs" dxfId="538" priority="302" operator="greaterThan">
      <formula>0</formula>
    </cfRule>
    <cfRule type="cellIs" dxfId="537" priority="303" operator="equal">
      <formula>0</formula>
    </cfRule>
  </conditionalFormatting>
  <conditionalFormatting sqref="BE50">
    <cfRule type="cellIs" dxfId="536" priority="298" operator="lessThan">
      <formula>0</formula>
    </cfRule>
    <cfRule type="cellIs" dxfId="535" priority="299" operator="greaterThan">
      <formula>0</formula>
    </cfRule>
    <cfRule type="cellIs" dxfId="534" priority="300" operator="equal">
      <formula>0</formula>
    </cfRule>
  </conditionalFormatting>
  <conditionalFormatting sqref="BH50">
    <cfRule type="cellIs" dxfId="533" priority="295" operator="lessThan">
      <formula>0</formula>
    </cfRule>
    <cfRule type="cellIs" dxfId="532" priority="296" operator="greaterThan">
      <formula>0</formula>
    </cfRule>
    <cfRule type="cellIs" dxfId="531" priority="297" operator="equal">
      <formula>0</formula>
    </cfRule>
  </conditionalFormatting>
  <conditionalFormatting sqref="BK50">
    <cfRule type="cellIs" dxfId="530" priority="292" operator="lessThan">
      <formula>0</formula>
    </cfRule>
    <cfRule type="cellIs" dxfId="529" priority="293" operator="greaterThan">
      <formula>0</formula>
    </cfRule>
    <cfRule type="cellIs" dxfId="528" priority="294" operator="equal">
      <formula>0</formula>
    </cfRule>
  </conditionalFormatting>
  <conditionalFormatting sqref="BN50">
    <cfRule type="cellIs" dxfId="527" priority="289" operator="lessThan">
      <formula>0</formula>
    </cfRule>
    <cfRule type="cellIs" dxfId="526" priority="290" operator="greaterThan">
      <formula>0</formula>
    </cfRule>
    <cfRule type="cellIs" dxfId="525" priority="291" operator="equal">
      <formula>0</formula>
    </cfRule>
  </conditionalFormatting>
  <conditionalFormatting sqref="AS60">
    <cfRule type="cellIs" dxfId="524" priority="286" operator="lessThan">
      <formula>0</formula>
    </cfRule>
    <cfRule type="cellIs" dxfId="523" priority="287" operator="greaterThan">
      <formula>0</formula>
    </cfRule>
    <cfRule type="cellIs" dxfId="522" priority="288" operator="equal">
      <formula>0</formula>
    </cfRule>
  </conditionalFormatting>
  <conditionalFormatting sqref="AV60">
    <cfRule type="cellIs" dxfId="521" priority="283" operator="lessThan">
      <formula>0</formula>
    </cfRule>
    <cfRule type="cellIs" dxfId="520" priority="284" operator="greaterThan">
      <formula>0</formula>
    </cfRule>
    <cfRule type="cellIs" dxfId="519" priority="285" operator="equal">
      <formula>0</formula>
    </cfRule>
  </conditionalFormatting>
  <conditionalFormatting sqref="AY60">
    <cfRule type="cellIs" dxfId="518" priority="280" operator="lessThan">
      <formula>0</formula>
    </cfRule>
    <cfRule type="cellIs" dxfId="517" priority="281" operator="greaterThan">
      <formula>0</formula>
    </cfRule>
    <cfRule type="cellIs" dxfId="516" priority="282" operator="equal">
      <formula>0</formula>
    </cfRule>
  </conditionalFormatting>
  <conditionalFormatting sqref="BB60">
    <cfRule type="cellIs" dxfId="515" priority="277" operator="lessThan">
      <formula>0</formula>
    </cfRule>
    <cfRule type="cellIs" dxfId="514" priority="278" operator="greaterThan">
      <formula>0</formula>
    </cfRule>
    <cfRule type="cellIs" dxfId="513" priority="279" operator="equal">
      <formula>0</formula>
    </cfRule>
  </conditionalFormatting>
  <conditionalFormatting sqref="BE60">
    <cfRule type="cellIs" dxfId="512" priority="274" operator="lessThan">
      <formula>0</formula>
    </cfRule>
    <cfRule type="cellIs" dxfId="511" priority="275" operator="greaterThan">
      <formula>0</formula>
    </cfRule>
    <cfRule type="cellIs" dxfId="510" priority="276" operator="equal">
      <formula>0</formula>
    </cfRule>
  </conditionalFormatting>
  <conditionalFormatting sqref="BH60">
    <cfRule type="cellIs" dxfId="509" priority="271" operator="lessThan">
      <formula>0</formula>
    </cfRule>
    <cfRule type="cellIs" dxfId="508" priority="272" operator="greaterThan">
      <formula>0</formula>
    </cfRule>
    <cfRule type="cellIs" dxfId="507" priority="273" operator="equal">
      <formula>0</formula>
    </cfRule>
  </conditionalFormatting>
  <conditionalFormatting sqref="BN120">
    <cfRule type="cellIs" dxfId="506" priority="121" operator="lessThan">
      <formula>0</formula>
    </cfRule>
    <cfRule type="cellIs" dxfId="505" priority="122" operator="greaterThan">
      <formula>0</formula>
    </cfRule>
    <cfRule type="cellIs" dxfId="504" priority="123" operator="equal">
      <formula>0</formula>
    </cfRule>
  </conditionalFormatting>
  <conditionalFormatting sqref="BK60">
    <cfRule type="cellIs" dxfId="503" priority="268" operator="lessThan">
      <formula>0</formula>
    </cfRule>
    <cfRule type="cellIs" dxfId="502" priority="269" operator="greaterThan">
      <formula>0</formula>
    </cfRule>
    <cfRule type="cellIs" dxfId="501" priority="270" operator="equal">
      <formula>0</formula>
    </cfRule>
  </conditionalFormatting>
  <conditionalFormatting sqref="BN60">
    <cfRule type="cellIs" dxfId="500" priority="265" operator="lessThan">
      <formula>0</formula>
    </cfRule>
    <cfRule type="cellIs" dxfId="499" priority="266" operator="greaterThan">
      <formula>0</formula>
    </cfRule>
    <cfRule type="cellIs" dxfId="498" priority="267" operator="equal">
      <formula>0</formula>
    </cfRule>
  </conditionalFormatting>
  <conditionalFormatting sqref="AS70">
    <cfRule type="cellIs" dxfId="497" priority="262" operator="lessThan">
      <formula>0</formula>
    </cfRule>
    <cfRule type="cellIs" dxfId="496" priority="263" operator="greaterThan">
      <formula>0</formula>
    </cfRule>
    <cfRule type="cellIs" dxfId="495" priority="264" operator="equal">
      <formula>0</formula>
    </cfRule>
  </conditionalFormatting>
  <conditionalFormatting sqref="AV70">
    <cfRule type="cellIs" dxfId="494" priority="259" operator="lessThan">
      <formula>0</formula>
    </cfRule>
    <cfRule type="cellIs" dxfId="493" priority="260" operator="greaterThan">
      <formula>0</formula>
    </cfRule>
    <cfRule type="cellIs" dxfId="492" priority="261" operator="equal">
      <formula>0</formula>
    </cfRule>
  </conditionalFormatting>
  <conditionalFormatting sqref="AY70">
    <cfRule type="cellIs" dxfId="491" priority="256" operator="lessThan">
      <formula>0</formula>
    </cfRule>
    <cfRule type="cellIs" dxfId="490" priority="257" operator="greaterThan">
      <formula>0</formula>
    </cfRule>
    <cfRule type="cellIs" dxfId="489" priority="258" operator="equal">
      <formula>0</formula>
    </cfRule>
  </conditionalFormatting>
  <conditionalFormatting sqref="BB70">
    <cfRule type="cellIs" dxfId="488" priority="253" operator="lessThan">
      <formula>0</formula>
    </cfRule>
    <cfRule type="cellIs" dxfId="487" priority="254" operator="greaterThan">
      <formula>0</formula>
    </cfRule>
    <cfRule type="cellIs" dxfId="486" priority="255" operator="equal">
      <formula>0</formula>
    </cfRule>
  </conditionalFormatting>
  <conditionalFormatting sqref="BE70">
    <cfRule type="cellIs" dxfId="485" priority="250" operator="lessThan">
      <formula>0</formula>
    </cfRule>
    <cfRule type="cellIs" dxfId="484" priority="251" operator="greaterThan">
      <formula>0</formula>
    </cfRule>
    <cfRule type="cellIs" dxfId="483" priority="252" operator="equal">
      <formula>0</formula>
    </cfRule>
  </conditionalFormatting>
  <conditionalFormatting sqref="BH70">
    <cfRule type="cellIs" dxfId="482" priority="247" operator="lessThan">
      <formula>0</formula>
    </cfRule>
    <cfRule type="cellIs" dxfId="481" priority="248" operator="greaterThan">
      <formula>0</formula>
    </cfRule>
    <cfRule type="cellIs" dxfId="480" priority="249" operator="equal">
      <formula>0</formula>
    </cfRule>
  </conditionalFormatting>
  <conditionalFormatting sqref="BK70">
    <cfRule type="cellIs" dxfId="479" priority="244" operator="lessThan">
      <formula>0</formula>
    </cfRule>
    <cfRule type="cellIs" dxfId="478" priority="245" operator="greaterThan">
      <formula>0</formula>
    </cfRule>
    <cfRule type="cellIs" dxfId="477" priority="246" operator="equal">
      <formula>0</formula>
    </cfRule>
  </conditionalFormatting>
  <conditionalFormatting sqref="BN70">
    <cfRule type="cellIs" dxfId="476" priority="241" operator="lessThan">
      <formula>0</formula>
    </cfRule>
    <cfRule type="cellIs" dxfId="475" priority="242" operator="greaterThan">
      <formula>0</formula>
    </cfRule>
    <cfRule type="cellIs" dxfId="474" priority="243" operator="equal">
      <formula>0</formula>
    </cfRule>
  </conditionalFormatting>
  <conditionalFormatting sqref="AS80">
    <cfRule type="cellIs" dxfId="473" priority="238" operator="lessThan">
      <formula>0</formula>
    </cfRule>
    <cfRule type="cellIs" dxfId="472" priority="239" operator="greaterThan">
      <formula>0</formula>
    </cfRule>
    <cfRule type="cellIs" dxfId="471" priority="240" operator="equal">
      <formula>0</formula>
    </cfRule>
  </conditionalFormatting>
  <conditionalFormatting sqref="AV80">
    <cfRule type="cellIs" dxfId="470" priority="235" operator="lessThan">
      <formula>0</formula>
    </cfRule>
    <cfRule type="cellIs" dxfId="469" priority="236" operator="greaterThan">
      <formula>0</formula>
    </cfRule>
    <cfRule type="cellIs" dxfId="468" priority="237" operator="equal">
      <formula>0</formula>
    </cfRule>
  </conditionalFormatting>
  <conditionalFormatting sqref="AY80">
    <cfRule type="cellIs" dxfId="467" priority="232" operator="lessThan">
      <formula>0</formula>
    </cfRule>
    <cfRule type="cellIs" dxfId="466" priority="233" operator="greaterThan">
      <formula>0</formula>
    </cfRule>
    <cfRule type="cellIs" dxfId="465" priority="234" operator="equal">
      <formula>0</formula>
    </cfRule>
  </conditionalFormatting>
  <conditionalFormatting sqref="BB80">
    <cfRule type="cellIs" dxfId="464" priority="229" operator="lessThan">
      <formula>0</formula>
    </cfRule>
    <cfRule type="cellIs" dxfId="463" priority="230" operator="greaterThan">
      <formula>0</formula>
    </cfRule>
    <cfRule type="cellIs" dxfId="462" priority="231" operator="equal">
      <formula>0</formula>
    </cfRule>
  </conditionalFormatting>
  <conditionalFormatting sqref="BE80">
    <cfRule type="cellIs" dxfId="461" priority="226" operator="lessThan">
      <formula>0</formula>
    </cfRule>
    <cfRule type="cellIs" dxfId="460" priority="227" operator="greaterThan">
      <formula>0</formula>
    </cfRule>
    <cfRule type="cellIs" dxfId="459" priority="228" operator="equal">
      <formula>0</formula>
    </cfRule>
  </conditionalFormatting>
  <conditionalFormatting sqref="BH80">
    <cfRule type="cellIs" dxfId="458" priority="223" operator="lessThan">
      <formula>0</formula>
    </cfRule>
    <cfRule type="cellIs" dxfId="457" priority="224" operator="greaterThan">
      <formula>0</formula>
    </cfRule>
    <cfRule type="cellIs" dxfId="456" priority="225" operator="equal">
      <formula>0</formula>
    </cfRule>
  </conditionalFormatting>
  <conditionalFormatting sqref="BK80">
    <cfRule type="cellIs" dxfId="455" priority="220" operator="lessThan">
      <formula>0</formula>
    </cfRule>
    <cfRule type="cellIs" dxfId="454" priority="221" operator="greaterThan">
      <formula>0</formula>
    </cfRule>
    <cfRule type="cellIs" dxfId="453" priority="222" operator="equal">
      <formula>0</formula>
    </cfRule>
  </conditionalFormatting>
  <conditionalFormatting sqref="BN80">
    <cfRule type="cellIs" dxfId="452" priority="217" operator="lessThan">
      <formula>0</formula>
    </cfRule>
    <cfRule type="cellIs" dxfId="451" priority="218" operator="greaterThan">
      <formula>0</formula>
    </cfRule>
    <cfRule type="cellIs" dxfId="450" priority="219" operator="equal">
      <formula>0</formula>
    </cfRule>
  </conditionalFormatting>
  <conditionalFormatting sqref="AS90">
    <cfRule type="cellIs" dxfId="449" priority="214" operator="lessThan">
      <formula>0</formula>
    </cfRule>
    <cfRule type="cellIs" dxfId="448" priority="215" operator="greaterThan">
      <formula>0</formula>
    </cfRule>
    <cfRule type="cellIs" dxfId="447" priority="216" operator="equal">
      <formula>0</formula>
    </cfRule>
  </conditionalFormatting>
  <conditionalFormatting sqref="AV90">
    <cfRule type="cellIs" dxfId="446" priority="211" operator="lessThan">
      <formula>0</formula>
    </cfRule>
    <cfRule type="cellIs" dxfId="445" priority="212" operator="greaterThan">
      <formula>0</formula>
    </cfRule>
    <cfRule type="cellIs" dxfId="444" priority="213" operator="equal">
      <formula>0</formula>
    </cfRule>
  </conditionalFormatting>
  <conditionalFormatting sqref="AY90">
    <cfRule type="cellIs" dxfId="443" priority="208" operator="lessThan">
      <formula>0</formula>
    </cfRule>
    <cfRule type="cellIs" dxfId="442" priority="209" operator="greaterThan">
      <formula>0</formula>
    </cfRule>
    <cfRule type="cellIs" dxfId="441" priority="210" operator="equal">
      <formula>0</formula>
    </cfRule>
  </conditionalFormatting>
  <conditionalFormatting sqref="BB90">
    <cfRule type="cellIs" dxfId="440" priority="205" operator="lessThan">
      <formula>0</formula>
    </cfRule>
    <cfRule type="cellIs" dxfId="439" priority="206" operator="greaterThan">
      <formula>0</formula>
    </cfRule>
    <cfRule type="cellIs" dxfId="438" priority="207" operator="equal">
      <formula>0</formula>
    </cfRule>
  </conditionalFormatting>
  <conditionalFormatting sqref="BE90">
    <cfRule type="cellIs" dxfId="437" priority="202" operator="lessThan">
      <formula>0</formula>
    </cfRule>
    <cfRule type="cellIs" dxfId="436" priority="203" operator="greaterThan">
      <formula>0</formula>
    </cfRule>
    <cfRule type="cellIs" dxfId="435" priority="204" operator="equal">
      <formula>0</formula>
    </cfRule>
  </conditionalFormatting>
  <conditionalFormatting sqref="BH90">
    <cfRule type="cellIs" dxfId="434" priority="199" operator="lessThan">
      <formula>0</formula>
    </cfRule>
    <cfRule type="cellIs" dxfId="433" priority="200" operator="greaterThan">
      <formula>0</formula>
    </cfRule>
    <cfRule type="cellIs" dxfId="432" priority="201" operator="equal">
      <formula>0</formula>
    </cfRule>
  </conditionalFormatting>
  <conditionalFormatting sqref="BK90">
    <cfRule type="cellIs" dxfId="431" priority="196" operator="lessThan">
      <formula>0</formula>
    </cfRule>
    <cfRule type="cellIs" dxfId="430" priority="197" operator="greaterThan">
      <formula>0</formula>
    </cfRule>
    <cfRule type="cellIs" dxfId="429" priority="198" operator="equal">
      <formula>0</formula>
    </cfRule>
  </conditionalFormatting>
  <conditionalFormatting sqref="BN90">
    <cfRule type="cellIs" dxfId="428" priority="193" operator="lessThan">
      <formula>0</formula>
    </cfRule>
    <cfRule type="cellIs" dxfId="427" priority="194" operator="greaterThan">
      <formula>0</formula>
    </cfRule>
    <cfRule type="cellIs" dxfId="426" priority="195" operator="equal">
      <formula>0</formula>
    </cfRule>
  </conditionalFormatting>
  <conditionalFormatting sqref="AS100">
    <cfRule type="cellIs" dxfId="425" priority="190" operator="lessThan">
      <formula>0</formula>
    </cfRule>
    <cfRule type="cellIs" dxfId="424" priority="191" operator="greaterThan">
      <formula>0</formula>
    </cfRule>
    <cfRule type="cellIs" dxfId="423" priority="192" operator="equal">
      <formula>0</formula>
    </cfRule>
  </conditionalFormatting>
  <conditionalFormatting sqref="AV100">
    <cfRule type="cellIs" dxfId="422" priority="187" operator="lessThan">
      <formula>0</formula>
    </cfRule>
    <cfRule type="cellIs" dxfId="421" priority="188" operator="greaterThan">
      <formula>0</formula>
    </cfRule>
    <cfRule type="cellIs" dxfId="420" priority="189" operator="equal">
      <formula>0</formula>
    </cfRule>
  </conditionalFormatting>
  <conditionalFormatting sqref="AY100">
    <cfRule type="cellIs" dxfId="419" priority="184" operator="lessThan">
      <formula>0</formula>
    </cfRule>
    <cfRule type="cellIs" dxfId="418" priority="185" operator="greaterThan">
      <formula>0</formula>
    </cfRule>
    <cfRule type="cellIs" dxfId="417" priority="186" operator="equal">
      <formula>0</formula>
    </cfRule>
  </conditionalFormatting>
  <conditionalFormatting sqref="BB100">
    <cfRule type="cellIs" dxfId="416" priority="181" operator="lessThan">
      <formula>0</formula>
    </cfRule>
    <cfRule type="cellIs" dxfId="415" priority="182" operator="greaterThan">
      <formula>0</formula>
    </cfRule>
    <cfRule type="cellIs" dxfId="414" priority="183" operator="equal">
      <formula>0</formula>
    </cfRule>
  </conditionalFormatting>
  <conditionalFormatting sqref="BE100">
    <cfRule type="cellIs" dxfId="413" priority="178" operator="lessThan">
      <formula>0</formula>
    </cfRule>
    <cfRule type="cellIs" dxfId="412" priority="179" operator="greaterThan">
      <formula>0</formula>
    </cfRule>
    <cfRule type="cellIs" dxfId="411" priority="180" operator="equal">
      <formula>0</formula>
    </cfRule>
  </conditionalFormatting>
  <conditionalFormatting sqref="BH100">
    <cfRule type="cellIs" dxfId="410" priority="175" operator="lessThan">
      <formula>0</formula>
    </cfRule>
    <cfRule type="cellIs" dxfId="409" priority="176" operator="greaterThan">
      <formula>0</formula>
    </cfRule>
    <cfRule type="cellIs" dxfId="408" priority="177" operator="equal">
      <formula>0</formula>
    </cfRule>
  </conditionalFormatting>
  <conditionalFormatting sqref="BK100">
    <cfRule type="cellIs" dxfId="407" priority="172" operator="lessThan">
      <formula>0</formula>
    </cfRule>
    <cfRule type="cellIs" dxfId="406" priority="173" operator="greaterThan">
      <formula>0</formula>
    </cfRule>
    <cfRule type="cellIs" dxfId="405" priority="174" operator="equal">
      <formula>0</formula>
    </cfRule>
  </conditionalFormatting>
  <conditionalFormatting sqref="BN100">
    <cfRule type="cellIs" dxfId="404" priority="169" operator="lessThan">
      <formula>0</formula>
    </cfRule>
    <cfRule type="cellIs" dxfId="403" priority="170" operator="greaterThan">
      <formula>0</formula>
    </cfRule>
    <cfRule type="cellIs" dxfId="402" priority="171" operator="equal">
      <formula>0</formula>
    </cfRule>
  </conditionalFormatting>
  <conditionalFormatting sqref="AS110">
    <cfRule type="cellIs" dxfId="401" priority="166" operator="lessThan">
      <formula>0</formula>
    </cfRule>
    <cfRule type="cellIs" dxfId="400" priority="167" operator="greaterThan">
      <formula>0</formula>
    </cfRule>
    <cfRule type="cellIs" dxfId="399" priority="168" operator="equal">
      <formula>0</formula>
    </cfRule>
  </conditionalFormatting>
  <conditionalFormatting sqref="AV110">
    <cfRule type="cellIs" dxfId="398" priority="163" operator="lessThan">
      <formula>0</formula>
    </cfRule>
    <cfRule type="cellIs" dxfId="397" priority="164" operator="greaterThan">
      <formula>0</formula>
    </cfRule>
    <cfRule type="cellIs" dxfId="396" priority="165" operator="equal">
      <formula>0</formula>
    </cfRule>
  </conditionalFormatting>
  <conditionalFormatting sqref="AY110">
    <cfRule type="cellIs" dxfId="395" priority="160" operator="lessThan">
      <formula>0</formula>
    </cfRule>
    <cfRule type="cellIs" dxfId="394" priority="161" operator="greaterThan">
      <formula>0</formula>
    </cfRule>
    <cfRule type="cellIs" dxfId="393" priority="162" operator="equal">
      <formula>0</formula>
    </cfRule>
  </conditionalFormatting>
  <conditionalFormatting sqref="BB110">
    <cfRule type="cellIs" dxfId="392" priority="157" operator="lessThan">
      <formula>0</formula>
    </cfRule>
    <cfRule type="cellIs" dxfId="391" priority="158" operator="greaterThan">
      <formula>0</formula>
    </cfRule>
    <cfRule type="cellIs" dxfId="390" priority="159" operator="equal">
      <formula>0</formula>
    </cfRule>
  </conditionalFormatting>
  <conditionalFormatting sqref="BE110">
    <cfRule type="cellIs" dxfId="389" priority="154" operator="lessThan">
      <formula>0</formula>
    </cfRule>
    <cfRule type="cellIs" dxfId="388" priority="155" operator="greaterThan">
      <formula>0</formula>
    </cfRule>
    <cfRule type="cellIs" dxfId="387" priority="156" operator="equal">
      <formula>0</formula>
    </cfRule>
  </conditionalFormatting>
  <conditionalFormatting sqref="BH110">
    <cfRule type="cellIs" dxfId="386" priority="151" operator="lessThan">
      <formula>0</formula>
    </cfRule>
    <cfRule type="cellIs" dxfId="385" priority="152" operator="greaterThan">
      <formula>0</formula>
    </cfRule>
    <cfRule type="cellIs" dxfId="384" priority="153" operator="equal">
      <formula>0</formula>
    </cfRule>
  </conditionalFormatting>
  <conditionalFormatting sqref="BK110">
    <cfRule type="cellIs" dxfId="383" priority="148" operator="lessThan">
      <formula>0</formula>
    </cfRule>
    <cfRule type="cellIs" dxfId="382" priority="149" operator="greaterThan">
      <formula>0</formula>
    </cfRule>
    <cfRule type="cellIs" dxfId="381" priority="150" operator="equal">
      <formula>0</formula>
    </cfRule>
  </conditionalFormatting>
  <conditionalFormatting sqref="BN110">
    <cfRule type="cellIs" dxfId="380" priority="145" operator="lessThan">
      <formula>0</formula>
    </cfRule>
    <cfRule type="cellIs" dxfId="379" priority="146" operator="greaterThan">
      <formula>0</formula>
    </cfRule>
    <cfRule type="cellIs" dxfId="378" priority="147" operator="equal">
      <formula>0</formula>
    </cfRule>
  </conditionalFormatting>
  <conditionalFormatting sqref="AS120">
    <cfRule type="cellIs" dxfId="377" priority="142" operator="lessThan">
      <formula>0</formula>
    </cfRule>
    <cfRule type="cellIs" dxfId="376" priority="143" operator="greaterThan">
      <formula>0</formula>
    </cfRule>
    <cfRule type="cellIs" dxfId="375" priority="144" operator="equal">
      <formula>0</formula>
    </cfRule>
  </conditionalFormatting>
  <conditionalFormatting sqref="AV120">
    <cfRule type="cellIs" dxfId="374" priority="139" operator="lessThan">
      <formula>0</formula>
    </cfRule>
    <cfRule type="cellIs" dxfId="373" priority="140" operator="greaterThan">
      <formula>0</formula>
    </cfRule>
    <cfRule type="cellIs" dxfId="372" priority="141" operator="equal">
      <formula>0</formula>
    </cfRule>
  </conditionalFormatting>
  <conditionalFormatting sqref="AY120">
    <cfRule type="cellIs" dxfId="371" priority="136" operator="lessThan">
      <formula>0</formula>
    </cfRule>
    <cfRule type="cellIs" dxfId="370" priority="137" operator="greaterThan">
      <formula>0</formula>
    </cfRule>
    <cfRule type="cellIs" dxfId="369" priority="138" operator="equal">
      <formula>0</formula>
    </cfRule>
  </conditionalFormatting>
  <conditionalFormatting sqref="BB120">
    <cfRule type="cellIs" dxfId="368" priority="133" operator="lessThan">
      <formula>0</formula>
    </cfRule>
    <cfRule type="cellIs" dxfId="367" priority="134" operator="greaterThan">
      <formula>0</formula>
    </cfRule>
    <cfRule type="cellIs" dxfId="366" priority="135" operator="equal">
      <formula>0</formula>
    </cfRule>
  </conditionalFormatting>
  <conditionalFormatting sqref="BE120">
    <cfRule type="cellIs" dxfId="365" priority="130" operator="lessThan">
      <formula>0</formula>
    </cfRule>
    <cfRule type="cellIs" dxfId="364" priority="131" operator="greaterThan">
      <formula>0</formula>
    </cfRule>
    <cfRule type="cellIs" dxfId="363" priority="132" operator="equal">
      <formula>0</formula>
    </cfRule>
  </conditionalFormatting>
  <conditionalFormatting sqref="BH120">
    <cfRule type="cellIs" dxfId="362" priority="127" operator="lessThan">
      <formula>0</formula>
    </cfRule>
    <cfRule type="cellIs" dxfId="361" priority="128" operator="greaterThan">
      <formula>0</formula>
    </cfRule>
    <cfRule type="cellIs" dxfId="360" priority="129" operator="equal">
      <formula>0</formula>
    </cfRule>
  </conditionalFormatting>
  <conditionalFormatting sqref="BK120">
    <cfRule type="cellIs" dxfId="359" priority="124" operator="lessThan">
      <formula>0</formula>
    </cfRule>
    <cfRule type="cellIs" dxfId="358" priority="125" operator="greaterThan">
      <formula>0</formula>
    </cfRule>
    <cfRule type="cellIs" dxfId="357" priority="126" operator="equal">
      <formula>0</formula>
    </cfRule>
  </conditionalFormatting>
  <conditionalFormatting sqref="E56">
    <cfRule type="cellIs" dxfId="356" priority="113" operator="lessThan">
      <formula>0</formula>
    </cfRule>
    <cfRule type="cellIs" dxfId="355" priority="114" operator="greaterThan">
      <formula>0</formula>
    </cfRule>
    <cfRule type="cellIs" dxfId="354" priority="115" operator="equal">
      <formula>0</formula>
    </cfRule>
  </conditionalFormatting>
  <conditionalFormatting sqref="E56">
    <cfRule type="cellIs" dxfId="353" priority="110" operator="lessThan">
      <formula>0</formula>
    </cfRule>
    <cfRule type="cellIs" dxfId="352" priority="111" operator="greaterThan">
      <formula>0</formula>
    </cfRule>
    <cfRule type="cellIs" dxfId="351" priority="112" operator="equal">
      <formula>0</formula>
    </cfRule>
  </conditionalFormatting>
  <conditionalFormatting sqref="K56">
    <cfRule type="cellIs" dxfId="350" priority="97" operator="lessThan">
      <formula>0</formula>
    </cfRule>
    <cfRule type="cellIs" dxfId="349" priority="98" operator="greaterThan">
      <formula>0</formula>
    </cfRule>
    <cfRule type="cellIs" dxfId="348" priority="99" operator="equal">
      <formula>0</formula>
    </cfRule>
  </conditionalFormatting>
  <conditionalFormatting sqref="K56">
    <cfRule type="cellIs" dxfId="347" priority="94" operator="lessThan">
      <formula>0</formula>
    </cfRule>
    <cfRule type="cellIs" dxfId="346" priority="95" operator="greaterThan">
      <formula>0</formula>
    </cfRule>
    <cfRule type="cellIs" dxfId="345" priority="96" operator="equal">
      <formula>0</formula>
    </cfRule>
  </conditionalFormatting>
  <conditionalFormatting sqref="G56">
    <cfRule type="cellIs" dxfId="344" priority="84" operator="lessThan">
      <formula>0</formula>
    </cfRule>
    <cfRule type="cellIs" dxfId="343" priority="85" operator="greaterThan">
      <formula>0</formula>
    </cfRule>
    <cfRule type="cellIs" dxfId="342" priority="86" operator="equal">
      <formula>0</formula>
    </cfRule>
    <cfRule type="cellIs" dxfId="341" priority="87" operator="equal">
      <formula>0</formula>
    </cfRule>
    <cfRule type="cellIs" dxfId="340" priority="88" operator="equal">
      <formula>0</formula>
    </cfRule>
  </conditionalFormatting>
  <conditionalFormatting sqref="G56">
    <cfRule type="cellIs" dxfId="339" priority="81" operator="lessThan">
      <formula>0</formula>
    </cfRule>
    <cfRule type="cellIs" dxfId="338" priority="82" operator="greaterThan">
      <formula>0</formula>
    </cfRule>
    <cfRule type="cellIs" dxfId="337" priority="83" operator="equal">
      <formula>0</formula>
    </cfRule>
  </conditionalFormatting>
  <conditionalFormatting sqref="M56">
    <cfRule type="cellIs" dxfId="336" priority="76" operator="lessThan">
      <formula>0</formula>
    </cfRule>
    <cfRule type="cellIs" dxfId="335" priority="77" operator="greaterThan">
      <formula>0</formula>
    </cfRule>
    <cfRule type="cellIs" dxfId="334" priority="78" operator="equal">
      <formula>0</formula>
    </cfRule>
    <cfRule type="cellIs" dxfId="333" priority="79" operator="equal">
      <formula>0</formula>
    </cfRule>
    <cfRule type="cellIs" dxfId="332" priority="80" operator="equal">
      <formula>0</formula>
    </cfRule>
  </conditionalFormatting>
  <conditionalFormatting sqref="M56">
    <cfRule type="cellIs" dxfId="331" priority="73" operator="lessThan">
      <formula>0</formula>
    </cfRule>
    <cfRule type="cellIs" dxfId="330" priority="74" operator="greaterThan">
      <formula>0</formula>
    </cfRule>
    <cfRule type="cellIs" dxfId="329" priority="75" operator="equal">
      <formula>0</formula>
    </cfRule>
  </conditionalFormatting>
  <conditionalFormatting sqref="BQ10">
    <cfRule type="cellIs" dxfId="328" priority="70" operator="lessThan">
      <formula>0</formula>
    </cfRule>
    <cfRule type="cellIs" dxfId="327" priority="71" operator="greaterThan">
      <formula>0</formula>
    </cfRule>
    <cfRule type="cellIs" dxfId="326" priority="72" operator="equal">
      <formula>0</formula>
    </cfRule>
  </conditionalFormatting>
  <conditionalFormatting sqref="BT10">
    <cfRule type="cellIs" dxfId="325" priority="67" operator="lessThan">
      <formula>0</formula>
    </cfRule>
    <cfRule type="cellIs" dxfId="324" priority="68" operator="greaterThan">
      <formula>0</formula>
    </cfRule>
    <cfRule type="cellIs" dxfId="323" priority="69" operator="equal">
      <formula>0</formula>
    </cfRule>
  </conditionalFormatting>
  <conditionalFormatting sqref="BQ20">
    <cfRule type="cellIs" dxfId="322" priority="64" operator="lessThan">
      <formula>0</formula>
    </cfRule>
    <cfRule type="cellIs" dxfId="321" priority="65" operator="greaterThan">
      <formula>0</formula>
    </cfRule>
    <cfRule type="cellIs" dxfId="320" priority="66" operator="equal">
      <formula>0</formula>
    </cfRule>
  </conditionalFormatting>
  <conditionalFormatting sqref="BT20">
    <cfRule type="cellIs" dxfId="319" priority="61" operator="lessThan">
      <formula>0</formula>
    </cfRule>
    <cfRule type="cellIs" dxfId="318" priority="62" operator="greaterThan">
      <formula>0</formula>
    </cfRule>
    <cfRule type="cellIs" dxfId="317" priority="63" operator="equal">
      <formula>0</formula>
    </cfRule>
  </conditionalFormatting>
  <conditionalFormatting sqref="BQ30">
    <cfRule type="cellIs" dxfId="316" priority="58" operator="lessThan">
      <formula>0</formula>
    </cfRule>
    <cfRule type="cellIs" dxfId="315" priority="59" operator="greaterThan">
      <formula>0</formula>
    </cfRule>
    <cfRule type="cellIs" dxfId="314" priority="60" operator="equal">
      <formula>0</formula>
    </cfRule>
  </conditionalFormatting>
  <conditionalFormatting sqref="BT30">
    <cfRule type="cellIs" dxfId="313" priority="55" operator="lessThan">
      <formula>0</formula>
    </cfRule>
    <cfRule type="cellIs" dxfId="312" priority="56" operator="greaterThan">
      <formula>0</formula>
    </cfRule>
    <cfRule type="cellIs" dxfId="311" priority="57" operator="equal">
      <formula>0</formula>
    </cfRule>
  </conditionalFormatting>
  <conditionalFormatting sqref="BQ40">
    <cfRule type="cellIs" dxfId="310" priority="52" operator="lessThan">
      <formula>0</formula>
    </cfRule>
    <cfRule type="cellIs" dxfId="309" priority="53" operator="greaterThan">
      <formula>0</formula>
    </cfRule>
    <cfRule type="cellIs" dxfId="308" priority="54" operator="equal">
      <formula>0</formula>
    </cfRule>
  </conditionalFormatting>
  <conditionalFormatting sqref="BT40">
    <cfRule type="cellIs" dxfId="307" priority="49" operator="lessThan">
      <formula>0</formula>
    </cfRule>
    <cfRule type="cellIs" dxfId="306" priority="50" operator="greaterThan">
      <formula>0</formula>
    </cfRule>
    <cfRule type="cellIs" dxfId="305" priority="51" operator="equal">
      <formula>0</formula>
    </cfRule>
  </conditionalFormatting>
  <conditionalFormatting sqref="BQ50">
    <cfRule type="cellIs" dxfId="304" priority="46" operator="lessThan">
      <formula>0</formula>
    </cfRule>
    <cfRule type="cellIs" dxfId="303" priority="47" operator="greaterThan">
      <formula>0</formula>
    </cfRule>
    <cfRule type="cellIs" dxfId="302" priority="48" operator="equal">
      <formula>0</formula>
    </cfRule>
  </conditionalFormatting>
  <conditionalFormatting sqref="BT50">
    <cfRule type="cellIs" dxfId="301" priority="43" operator="lessThan">
      <formula>0</formula>
    </cfRule>
    <cfRule type="cellIs" dxfId="300" priority="44" operator="greaterThan">
      <formula>0</formula>
    </cfRule>
    <cfRule type="cellIs" dxfId="299" priority="45" operator="equal">
      <formula>0</formula>
    </cfRule>
  </conditionalFormatting>
  <conditionalFormatting sqref="BQ60">
    <cfRule type="cellIs" dxfId="298" priority="40" operator="lessThan">
      <formula>0</formula>
    </cfRule>
    <cfRule type="cellIs" dxfId="297" priority="41" operator="greaterThan">
      <formula>0</formula>
    </cfRule>
    <cfRule type="cellIs" dxfId="296" priority="42" operator="equal">
      <formula>0</formula>
    </cfRule>
  </conditionalFormatting>
  <conditionalFormatting sqref="BT60">
    <cfRule type="cellIs" dxfId="295" priority="37" operator="lessThan">
      <formula>0</formula>
    </cfRule>
    <cfRule type="cellIs" dxfId="294" priority="38" operator="greaterThan">
      <formula>0</formula>
    </cfRule>
    <cfRule type="cellIs" dxfId="293" priority="39" operator="equal">
      <formula>0</formula>
    </cfRule>
  </conditionalFormatting>
  <conditionalFormatting sqref="BQ70">
    <cfRule type="cellIs" dxfId="292" priority="34" operator="lessThan">
      <formula>0</formula>
    </cfRule>
    <cfRule type="cellIs" dxfId="291" priority="35" operator="greaterThan">
      <formula>0</formula>
    </cfRule>
    <cfRule type="cellIs" dxfId="290" priority="36" operator="equal">
      <formula>0</formula>
    </cfRule>
  </conditionalFormatting>
  <conditionalFormatting sqref="BT70">
    <cfRule type="cellIs" dxfId="289" priority="31" operator="lessThan">
      <formula>0</formula>
    </cfRule>
    <cfRule type="cellIs" dxfId="288" priority="32" operator="greaterThan">
      <formula>0</formula>
    </cfRule>
    <cfRule type="cellIs" dxfId="287" priority="33" operator="equal">
      <formula>0</formula>
    </cfRule>
  </conditionalFormatting>
  <conditionalFormatting sqref="BQ80">
    <cfRule type="cellIs" dxfId="286" priority="28" operator="lessThan">
      <formula>0</formula>
    </cfRule>
    <cfRule type="cellIs" dxfId="285" priority="29" operator="greaterThan">
      <formula>0</formula>
    </cfRule>
    <cfRule type="cellIs" dxfId="284" priority="30" operator="equal">
      <formula>0</formula>
    </cfRule>
  </conditionalFormatting>
  <conditionalFormatting sqref="BT80">
    <cfRule type="cellIs" dxfId="283" priority="25" operator="lessThan">
      <formula>0</formula>
    </cfRule>
    <cfRule type="cellIs" dxfId="282" priority="26" operator="greaterThan">
      <formula>0</formula>
    </cfRule>
    <cfRule type="cellIs" dxfId="281" priority="27" operator="equal">
      <formula>0</formula>
    </cfRule>
  </conditionalFormatting>
  <conditionalFormatting sqref="BQ90">
    <cfRule type="cellIs" dxfId="280" priority="22" operator="lessThan">
      <formula>0</formula>
    </cfRule>
    <cfRule type="cellIs" dxfId="279" priority="23" operator="greaterThan">
      <formula>0</formula>
    </cfRule>
    <cfRule type="cellIs" dxfId="278" priority="24" operator="equal">
      <formula>0</formula>
    </cfRule>
  </conditionalFormatting>
  <conditionalFormatting sqref="BT90">
    <cfRule type="cellIs" dxfId="277" priority="19" operator="lessThan">
      <formula>0</formula>
    </cfRule>
    <cfRule type="cellIs" dxfId="276" priority="20" operator="greaterThan">
      <formula>0</formula>
    </cfRule>
    <cfRule type="cellIs" dxfId="275" priority="21" operator="equal">
      <formula>0</formula>
    </cfRule>
  </conditionalFormatting>
  <conditionalFormatting sqref="BQ100">
    <cfRule type="cellIs" dxfId="274" priority="16" operator="lessThan">
      <formula>0</formula>
    </cfRule>
    <cfRule type="cellIs" dxfId="273" priority="17" operator="greaterThan">
      <formula>0</formula>
    </cfRule>
    <cfRule type="cellIs" dxfId="272" priority="18" operator="equal">
      <formula>0</formula>
    </cfRule>
  </conditionalFormatting>
  <conditionalFormatting sqref="BT100">
    <cfRule type="cellIs" dxfId="271" priority="13" operator="lessThan">
      <formula>0</formula>
    </cfRule>
    <cfRule type="cellIs" dxfId="270" priority="14" operator="greaterThan">
      <formula>0</formula>
    </cfRule>
    <cfRule type="cellIs" dxfId="269" priority="15" operator="equal">
      <formula>0</formula>
    </cfRule>
  </conditionalFormatting>
  <conditionalFormatting sqref="BQ110">
    <cfRule type="cellIs" dxfId="268" priority="10" operator="lessThan">
      <formula>0</formula>
    </cfRule>
    <cfRule type="cellIs" dxfId="267" priority="11" operator="greaterThan">
      <formula>0</formula>
    </cfRule>
    <cfRule type="cellIs" dxfId="266" priority="12" operator="equal">
      <formula>0</formula>
    </cfRule>
  </conditionalFormatting>
  <conditionalFormatting sqref="BT110">
    <cfRule type="cellIs" dxfId="265" priority="7" operator="lessThan">
      <formula>0</formula>
    </cfRule>
    <cfRule type="cellIs" dxfId="264" priority="8" operator="greaterThan">
      <formula>0</formula>
    </cfRule>
    <cfRule type="cellIs" dxfId="263" priority="9" operator="equal">
      <formula>0</formula>
    </cfRule>
  </conditionalFormatting>
  <conditionalFormatting sqref="BQ120">
    <cfRule type="cellIs" dxfId="262" priority="4" operator="lessThan">
      <formula>0</formula>
    </cfRule>
    <cfRule type="cellIs" dxfId="261" priority="5" operator="greaterThan">
      <formula>0</formula>
    </cfRule>
    <cfRule type="cellIs" dxfId="260" priority="6" operator="equal">
      <formula>0</formula>
    </cfRule>
  </conditionalFormatting>
  <conditionalFormatting sqref="BT120">
    <cfRule type="cellIs" dxfId="259" priority="1" operator="lessThan">
      <formula>0</formula>
    </cfRule>
    <cfRule type="cellIs" dxfId="258" priority="2" operator="greaterThan">
      <formula>0</formula>
    </cfRule>
    <cfRule type="cellIs" dxfId="257" priority="3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V120"/>
  <sheetViews>
    <sheetView topLeftCell="I3" zoomScale="90" zoomScaleNormal="90" workbookViewId="0">
      <selection activeCell="BC19" sqref="BC19"/>
    </sheetView>
  </sheetViews>
  <sheetFormatPr defaultRowHeight="15" x14ac:dyDescent="0.25"/>
  <cols>
    <col min="1" max="1" width="9.140625" style="53"/>
    <col min="2" max="2" width="15.42578125" style="53" customWidth="1"/>
    <col min="3" max="3" width="11.5703125" style="53" customWidth="1"/>
    <col min="4" max="4" width="7.85546875" style="53" customWidth="1"/>
    <col min="5" max="5" width="9.28515625" style="53" customWidth="1"/>
    <col min="6" max="6" width="8.7109375" style="53" customWidth="1"/>
    <col min="7" max="7" width="9.140625" style="53"/>
    <col min="8" max="8" width="15.7109375" style="53" customWidth="1"/>
    <col min="9" max="9" width="11.5703125" style="53" customWidth="1"/>
    <col min="10" max="10" width="6.85546875" style="53" customWidth="1"/>
    <col min="11" max="11" width="9.7109375" style="53" customWidth="1"/>
    <col min="12" max="12" width="8.5703125" style="53" customWidth="1"/>
    <col min="13" max="13" width="9.140625" style="53"/>
    <col min="14" max="14" width="15" style="53" customWidth="1"/>
    <col min="15" max="15" width="11.7109375" style="53" customWidth="1"/>
    <col min="16" max="16" width="6.7109375" style="53" customWidth="1"/>
    <col min="17" max="17" width="10.28515625" style="53" customWidth="1"/>
    <col min="18" max="18" width="8.28515625" style="53" bestFit="1" customWidth="1"/>
    <col min="19" max="19" width="9.140625" style="53"/>
    <col min="20" max="20" width="15.28515625" style="53" customWidth="1"/>
    <col min="21" max="21" width="13.28515625" style="53" customWidth="1"/>
    <col min="22" max="22" width="12.85546875" style="53" customWidth="1"/>
    <col min="23" max="23" width="11.7109375" style="53" customWidth="1"/>
    <col min="24" max="24" width="15.28515625" style="53" customWidth="1"/>
    <col min="25" max="25" width="8" style="53" customWidth="1"/>
    <col min="26" max="26" width="8.140625" style="53" customWidth="1"/>
    <col min="27" max="27" width="8.28515625" style="53" customWidth="1"/>
    <col min="28" max="28" width="7.42578125" style="53" customWidth="1"/>
    <col min="29" max="30" width="8.5703125" style="53" customWidth="1"/>
    <col min="31" max="31" width="9.140625" style="53"/>
    <col min="32" max="32" width="9" style="53" customWidth="1"/>
    <col min="33" max="33" width="5" style="53" customWidth="1"/>
    <col min="34" max="34" width="5.5703125" style="53" customWidth="1"/>
    <col min="35" max="35" width="9.5703125" style="53" customWidth="1"/>
    <col min="36" max="36" width="9" style="53" customWidth="1"/>
    <col min="37" max="37" width="6.28515625" style="53" customWidth="1"/>
    <col min="38" max="38" width="9.85546875" style="53" customWidth="1"/>
    <col min="39" max="39" width="9" style="53" customWidth="1"/>
    <col min="40" max="40" width="5.5703125" style="53" customWidth="1"/>
    <col min="41" max="41" width="9.28515625" style="53" customWidth="1"/>
    <col min="42" max="42" width="9.140625" style="53"/>
    <col min="43" max="43" width="5.42578125" style="53" customWidth="1"/>
    <col min="44" max="44" width="9.5703125" style="53" customWidth="1"/>
    <col min="45" max="45" width="8.5703125" style="53" customWidth="1"/>
    <col min="46" max="46" width="5.140625" style="53" customWidth="1"/>
    <col min="47" max="47" width="9.42578125" style="53" customWidth="1"/>
    <col min="48" max="48" width="9" style="53" customWidth="1"/>
    <col min="49" max="16384" width="9.140625" style="53"/>
  </cols>
  <sheetData>
    <row r="2" spans="2:48" ht="20.25" customHeight="1" x14ac:dyDescent="0.25">
      <c r="B2" s="257" t="s">
        <v>18</v>
      </c>
      <c r="C2" s="258"/>
      <c r="D2" s="258"/>
      <c r="E2" s="258"/>
      <c r="F2" s="259"/>
      <c r="H2" s="257" t="s">
        <v>19</v>
      </c>
      <c r="I2" s="258"/>
      <c r="J2" s="258"/>
      <c r="K2" s="258"/>
      <c r="L2" s="259"/>
      <c r="N2" s="257" t="s">
        <v>20</v>
      </c>
      <c r="O2" s="258"/>
      <c r="P2" s="258"/>
      <c r="Q2" s="258"/>
      <c r="R2" s="259"/>
      <c r="T2" s="108" t="s">
        <v>58</v>
      </c>
      <c r="U2" s="109" t="s">
        <v>48</v>
      </c>
      <c r="V2" s="109" t="s">
        <v>168</v>
      </c>
      <c r="X2" s="108" t="s">
        <v>58</v>
      </c>
      <c r="Y2" s="108" t="s">
        <v>27</v>
      </c>
      <c r="Z2" s="108" t="s">
        <v>30</v>
      </c>
      <c r="AA2" s="108" t="s">
        <v>29</v>
      </c>
      <c r="AB2" s="108" t="s">
        <v>31</v>
      </c>
      <c r="AC2" s="108" t="s">
        <v>32</v>
      </c>
      <c r="AD2" s="108" t="s">
        <v>33</v>
      </c>
      <c r="AE2" s="108" t="s">
        <v>34</v>
      </c>
      <c r="AG2" s="273" t="s">
        <v>68</v>
      </c>
      <c r="AH2" s="270" t="s">
        <v>18</v>
      </c>
      <c r="AI2" s="54" t="s">
        <v>27</v>
      </c>
      <c r="AJ2" s="166">
        <f>COUNTIFS(JOURNAL!F:F,"1",JOURNAL!L:L,"50-60",JOURNAL!O:O,"TP")</f>
        <v>0</v>
      </c>
      <c r="AK2" s="270" t="s">
        <v>19</v>
      </c>
      <c r="AL2" s="54" t="s">
        <v>27</v>
      </c>
      <c r="AM2" s="166">
        <f>COUNTIFS(JOURNAL!F:F,"1",JOURNAL!L:L,"60-70",JOURNAL!O:O,"TP")</f>
        <v>0</v>
      </c>
      <c r="AN2" s="270" t="s">
        <v>20</v>
      </c>
      <c r="AO2" s="54" t="s">
        <v>27</v>
      </c>
      <c r="AP2" s="166">
        <f>COUNTIFS(JOURNAL!F:F,"1",JOURNAL!L:L,"70-80",JOURNAL!O:O,"TP")</f>
        <v>0</v>
      </c>
      <c r="AQ2" s="270" t="s">
        <v>21</v>
      </c>
      <c r="AR2" s="54" t="s">
        <v>27</v>
      </c>
      <c r="AS2" s="166">
        <f>COUNTIFS(JOURNAL!F:F,"1",JOURNAL!L:L,"80-90",JOURNAL!O:O,"TP")</f>
        <v>0</v>
      </c>
      <c r="AT2" s="270" t="s">
        <v>59</v>
      </c>
      <c r="AU2" s="54" t="s">
        <v>27</v>
      </c>
      <c r="AV2" s="166">
        <f>COUNTIFS(JOURNAL!F:F,"1",JOURNAL!L:L,"90-100",JOURNAL!O:O,"TP")</f>
        <v>0</v>
      </c>
    </row>
    <row r="3" spans="2:48" ht="19.5" customHeight="1" x14ac:dyDescent="0.25">
      <c r="B3" s="260" t="s">
        <v>43</v>
      </c>
      <c r="C3" s="262">
        <f>COUNTIF(JOURNAL!L:L,"50-60")</f>
        <v>0</v>
      </c>
      <c r="D3" s="263"/>
      <c r="E3" s="54" t="s">
        <v>27</v>
      </c>
      <c r="F3" s="48">
        <f>COUNTIFS(JOURNAL!L:L,"50-60",JOURNAL!O:O,"TP")</f>
        <v>0</v>
      </c>
      <c r="H3" s="260" t="s">
        <v>43</v>
      </c>
      <c r="I3" s="262">
        <f>COUNTIF(JOURNAL!L:L,"60-70")</f>
        <v>0</v>
      </c>
      <c r="J3" s="263"/>
      <c r="K3" s="54" t="s">
        <v>27</v>
      </c>
      <c r="L3" s="48">
        <f>COUNTIFS(JOURNAL!L:L,"60-70",JOURNAL!O:O,"TP")</f>
        <v>0</v>
      </c>
      <c r="N3" s="260" t="s">
        <v>43</v>
      </c>
      <c r="O3" s="262">
        <f>COUNTIF(JOURNAL!L:L,"70-80")</f>
        <v>0</v>
      </c>
      <c r="P3" s="263"/>
      <c r="Q3" s="54" t="s">
        <v>27</v>
      </c>
      <c r="R3" s="48">
        <f>COUNTIFS(JOURNAL!L:L,"70-80",JOURNAL!O:O,"TP")</f>
        <v>0</v>
      </c>
      <c r="T3" s="110" t="s">
        <v>18</v>
      </c>
      <c r="U3" s="155">
        <f>D10</f>
        <v>0</v>
      </c>
      <c r="V3" s="81">
        <f>SMALL(U3:U7,5)</f>
        <v>0</v>
      </c>
      <c r="X3" s="110" t="s">
        <v>18</v>
      </c>
      <c r="Y3" s="75">
        <f>F3</f>
        <v>0</v>
      </c>
      <c r="Z3" s="75">
        <f>F6</f>
        <v>0</v>
      </c>
      <c r="AA3" s="75">
        <f>F4</f>
        <v>0</v>
      </c>
      <c r="AB3" s="75">
        <f>F7</f>
        <v>0</v>
      </c>
      <c r="AC3" s="75">
        <f>F5</f>
        <v>0</v>
      </c>
      <c r="AD3" s="75">
        <f>F8</f>
        <v>0</v>
      </c>
      <c r="AE3" s="75">
        <f>F9</f>
        <v>0</v>
      </c>
      <c r="AG3" s="273"/>
      <c r="AH3" s="271"/>
      <c r="AI3" s="55" t="s">
        <v>29</v>
      </c>
      <c r="AJ3" s="166">
        <f>COUNTIFS(JOURNAL!F:F,"1",JOURNAL!L:L,"50-60",JOURNAL!O:O,"SL")</f>
        <v>0</v>
      </c>
      <c r="AK3" s="271"/>
      <c r="AL3" s="55" t="s">
        <v>29</v>
      </c>
      <c r="AM3" s="166">
        <f>COUNTIFS(JOURNAL!F:F,"1",JOURNAL!L:L,"60-70",JOURNAL!O:O,"SL")</f>
        <v>0</v>
      </c>
      <c r="AN3" s="271"/>
      <c r="AO3" s="55" t="s">
        <v>29</v>
      </c>
      <c r="AP3" s="166">
        <f>COUNTIFS(JOURNAL!F:F,"1",JOURNAL!L:L,"70-80",JOURNAL!O:O,"SL")</f>
        <v>0</v>
      </c>
      <c r="AQ3" s="271"/>
      <c r="AR3" s="55" t="s">
        <v>29</v>
      </c>
      <c r="AS3" s="166">
        <f>COUNTIFS(JOURNAL!F:F,"1",JOURNAL!L:L,"80-90",JOURNAL!O:O,"SL")</f>
        <v>0</v>
      </c>
      <c r="AT3" s="271"/>
      <c r="AU3" s="55" t="s">
        <v>29</v>
      </c>
      <c r="AV3" s="166">
        <f>COUNTIFS(JOURNAL!F:F,"1",JOURNAL!L:L,"90-100",JOURNAL!O:O,"SL")</f>
        <v>0</v>
      </c>
    </row>
    <row r="4" spans="2:48" ht="18.75" x14ac:dyDescent="0.25">
      <c r="B4" s="261"/>
      <c r="C4" s="264"/>
      <c r="D4" s="265"/>
      <c r="E4" s="55" t="s">
        <v>29</v>
      </c>
      <c r="F4" s="48">
        <f>COUNTIFS(JOURNAL!L:L,"50-60",JOURNAL!O:O,"SL")</f>
        <v>0</v>
      </c>
      <c r="H4" s="261"/>
      <c r="I4" s="264"/>
      <c r="J4" s="265"/>
      <c r="K4" s="55" t="s">
        <v>29</v>
      </c>
      <c r="L4" s="48">
        <f>COUNTIFS(JOURNAL!L:L,"60-70",JOURNAL!O:O,"SL")</f>
        <v>0</v>
      </c>
      <c r="N4" s="261"/>
      <c r="O4" s="264"/>
      <c r="P4" s="265"/>
      <c r="Q4" s="55" t="s">
        <v>29</v>
      </c>
      <c r="R4" s="48">
        <f>COUNTIFS(JOURNAL!L:L,"70-80",JOURNAL!O:O,"SL")</f>
        <v>0</v>
      </c>
      <c r="T4" s="110" t="s">
        <v>19</v>
      </c>
      <c r="U4" s="155">
        <f>J10</f>
        <v>0</v>
      </c>
      <c r="V4" s="82">
        <f>SMALL(U3:U7,4)</f>
        <v>0</v>
      </c>
      <c r="X4" s="110" t="s">
        <v>19</v>
      </c>
      <c r="Y4" s="48">
        <f>L3</f>
        <v>0</v>
      </c>
      <c r="Z4" s="48">
        <f>L6</f>
        <v>0</v>
      </c>
      <c r="AA4" s="48">
        <f>L4</f>
        <v>0</v>
      </c>
      <c r="AB4" s="48">
        <f>L7</f>
        <v>0</v>
      </c>
      <c r="AC4" s="48">
        <f>L5</f>
        <v>0</v>
      </c>
      <c r="AD4" s="48">
        <f>L8</f>
        <v>0</v>
      </c>
      <c r="AE4" s="48">
        <f>L9</f>
        <v>0</v>
      </c>
      <c r="AG4" s="273"/>
      <c r="AH4" s="271"/>
      <c r="AI4" s="56" t="s">
        <v>32</v>
      </c>
      <c r="AJ4" s="166">
        <f>COUNTIFS(JOURNAL!F:F,"1",JOURNAL!L:L,"50-60",JOURNAL!O:O,"RF")</f>
        <v>0</v>
      </c>
      <c r="AK4" s="271"/>
      <c r="AL4" s="56" t="s">
        <v>32</v>
      </c>
      <c r="AM4" s="166">
        <f>COUNTIFS(JOURNAL!F:F,"1",JOURNAL!L:L,"60-70",JOURNAL!O:O,"RF")</f>
        <v>0</v>
      </c>
      <c r="AN4" s="271"/>
      <c r="AO4" s="56" t="s">
        <v>32</v>
      </c>
      <c r="AP4" s="166">
        <f>COUNTIFS(JOURNAL!F:F,"1",JOURNAL!L:L,"70-80",JOURNAL!O:O,"RF")</f>
        <v>0</v>
      </c>
      <c r="AQ4" s="271"/>
      <c r="AR4" s="56" t="s">
        <v>32</v>
      </c>
      <c r="AS4" s="166">
        <f>COUNTIFS(JOURNAL!F:F,"1",JOURNAL!L:L,"80-90",JOURNAL!O:O,"RF")</f>
        <v>0</v>
      </c>
      <c r="AT4" s="271"/>
      <c r="AU4" s="56" t="s">
        <v>32</v>
      </c>
      <c r="AV4" s="166">
        <f>COUNTIFS(JOURNAL!F:F,"1",JOURNAL!L:L,"90-100",JOURNAL!O:O,"RF")</f>
        <v>0</v>
      </c>
    </row>
    <row r="5" spans="2:48" ht="18.75" x14ac:dyDescent="0.25">
      <c r="B5" s="260" t="s">
        <v>45</v>
      </c>
      <c r="C5" s="111" t="s">
        <v>36</v>
      </c>
      <c r="D5" s="48">
        <f>COUNTIFS(JOURNAL!L:L,"50-60",JOURNAL!P:P,"SF")</f>
        <v>0</v>
      </c>
      <c r="E5" s="56" t="s">
        <v>32</v>
      </c>
      <c r="F5" s="48">
        <f>COUNTIFS(JOURNAL!L:L,"50-60",JOURNAL!O:O,"RF")</f>
        <v>0</v>
      </c>
      <c r="H5" s="260" t="s">
        <v>45</v>
      </c>
      <c r="I5" s="111" t="s">
        <v>36</v>
      </c>
      <c r="J5" s="48">
        <f>COUNTIFS(JOURNAL!L:L,"60-70",JOURNAL!P:P,"SF")</f>
        <v>0</v>
      </c>
      <c r="K5" s="56" t="s">
        <v>32</v>
      </c>
      <c r="L5" s="48">
        <f>COUNTIFS(JOURNAL!L:L,"60-70",JOURNAL!O:O,"RF")</f>
        <v>0</v>
      </c>
      <c r="N5" s="260" t="s">
        <v>45</v>
      </c>
      <c r="O5" s="111" t="s">
        <v>36</v>
      </c>
      <c r="P5" s="48">
        <f>COUNTIFS(JOURNAL!L:L,"70-80",JOURNAL!P:P,"SF")</f>
        <v>0</v>
      </c>
      <c r="Q5" s="56" t="s">
        <v>32</v>
      </c>
      <c r="R5" s="48">
        <f>COUNTIFS(JOURNAL!L:L,"70-80",JOURNAL!O:O,"RF")</f>
        <v>0</v>
      </c>
      <c r="T5" s="110" t="s">
        <v>20</v>
      </c>
      <c r="U5" s="155">
        <f>P10</f>
        <v>0</v>
      </c>
      <c r="V5" s="51">
        <f>SMALL(U3:U7,3)</f>
        <v>0</v>
      </c>
      <c r="X5" s="110" t="s">
        <v>20</v>
      </c>
      <c r="Y5" s="75">
        <f>R3</f>
        <v>0</v>
      </c>
      <c r="Z5" s="75">
        <f>R6</f>
        <v>0</v>
      </c>
      <c r="AA5" s="75">
        <f>R4</f>
        <v>0</v>
      </c>
      <c r="AB5" s="75">
        <f>R7</f>
        <v>0</v>
      </c>
      <c r="AC5" s="75">
        <f>R5</f>
        <v>0</v>
      </c>
      <c r="AD5" s="75">
        <f>R8</f>
        <v>0</v>
      </c>
      <c r="AE5" s="75">
        <f>R9</f>
        <v>0</v>
      </c>
      <c r="AG5" s="273"/>
      <c r="AH5" s="271"/>
      <c r="AI5" s="57" t="s">
        <v>30</v>
      </c>
      <c r="AJ5" s="166">
        <f>COUNTIFS(JOURNAL!F:F,"1",JOURNAL!L:L,"50-60",JOURNAL!O:O,"PS")</f>
        <v>0</v>
      </c>
      <c r="AK5" s="271"/>
      <c r="AL5" s="57" t="s">
        <v>30</v>
      </c>
      <c r="AM5" s="166">
        <f>COUNTIFS(JOURNAL!F:F,"1",JOURNAL!L:L,"60-70",JOURNAL!O:O,"PS")</f>
        <v>0</v>
      </c>
      <c r="AN5" s="271"/>
      <c r="AO5" s="57" t="s">
        <v>30</v>
      </c>
      <c r="AP5" s="166">
        <f>COUNTIFS(JOURNAL!F:F,"1",JOURNAL!L:L,"70-80",JOURNAL!O:O,"PS")</f>
        <v>0</v>
      </c>
      <c r="AQ5" s="271"/>
      <c r="AR5" s="57" t="s">
        <v>30</v>
      </c>
      <c r="AS5" s="166">
        <f>COUNTIFS(JOURNAL!F:F,"1",JOURNAL!L:L,"80-90",JOURNAL!O:O,"PS")</f>
        <v>0</v>
      </c>
      <c r="AT5" s="271"/>
      <c r="AU5" s="57" t="s">
        <v>30</v>
      </c>
      <c r="AV5" s="166">
        <f>COUNTIFS(JOURNAL!F:F,"1",JOURNAL!L:L,"90-100",JOURNAL!O:O,"PS")</f>
        <v>0</v>
      </c>
    </row>
    <row r="6" spans="2:48" ht="18.75" x14ac:dyDescent="0.25">
      <c r="B6" s="266"/>
      <c r="C6" s="112" t="s">
        <v>28</v>
      </c>
      <c r="D6" s="48">
        <f>COUNTIFS(JOURNAL!L:L,"50-60",JOURNAL!P:P,"TC")</f>
        <v>0</v>
      </c>
      <c r="E6" s="57" t="s">
        <v>30</v>
      </c>
      <c r="F6" s="48">
        <f>COUNTIFS(JOURNAL!L:L,"50-60",JOURNAL!O:O,"PS")</f>
        <v>0</v>
      </c>
      <c r="H6" s="266"/>
      <c r="I6" s="112" t="s">
        <v>28</v>
      </c>
      <c r="J6" s="48">
        <f>COUNTIFS(JOURNAL!L:L,"60-70",JOURNAL!P:P,"TC")</f>
        <v>0</v>
      </c>
      <c r="K6" s="57" t="s">
        <v>30</v>
      </c>
      <c r="L6" s="48">
        <f>COUNTIFS(JOURNAL!L:L,"60-70",JOURNAL!O:O,"PS")</f>
        <v>0</v>
      </c>
      <c r="N6" s="266"/>
      <c r="O6" s="112" t="s">
        <v>28</v>
      </c>
      <c r="P6" s="48">
        <f>COUNTIFS(JOURNAL!L:L,"70-80",JOURNAL!P:P,"TC")</f>
        <v>0</v>
      </c>
      <c r="Q6" s="57" t="s">
        <v>30</v>
      </c>
      <c r="R6" s="48">
        <f>COUNTIFS(JOURNAL!L:L,"70-80",JOURNAL!O:O,"PS")</f>
        <v>0</v>
      </c>
      <c r="T6" s="110" t="s">
        <v>21</v>
      </c>
      <c r="U6" s="155">
        <f>D36</f>
        <v>0</v>
      </c>
      <c r="V6" s="113">
        <f>SMALL(U3:U7,2)</f>
        <v>0</v>
      </c>
      <c r="X6" s="110" t="s">
        <v>21</v>
      </c>
      <c r="Y6" s="48">
        <f>F29</f>
        <v>0</v>
      </c>
      <c r="Z6" s="48">
        <f>F32</f>
        <v>0</v>
      </c>
      <c r="AA6" s="48">
        <f>F30</f>
        <v>0</v>
      </c>
      <c r="AB6" s="48">
        <f>F33</f>
        <v>0</v>
      </c>
      <c r="AC6" s="48">
        <f>F31</f>
        <v>0</v>
      </c>
      <c r="AD6" s="48">
        <f>F34</f>
        <v>0</v>
      </c>
      <c r="AE6" s="48">
        <f>F35</f>
        <v>0</v>
      </c>
      <c r="AG6" s="273"/>
      <c r="AH6" s="271"/>
      <c r="AI6" s="58" t="s">
        <v>31</v>
      </c>
      <c r="AJ6" s="166">
        <f>COUNTIFS(JOURNAL!F:F,"1",JOURNAL!L:L,"50-60",JOURNAL!O:O,"LS")</f>
        <v>0</v>
      </c>
      <c r="AK6" s="271"/>
      <c r="AL6" s="58" t="s">
        <v>31</v>
      </c>
      <c r="AM6" s="166">
        <f>COUNTIFS(JOURNAL!F:F,"1",JOURNAL!L:L,"60-70",JOURNAL!O:O,"LS")</f>
        <v>0</v>
      </c>
      <c r="AN6" s="271"/>
      <c r="AO6" s="58" t="s">
        <v>31</v>
      </c>
      <c r="AP6" s="166">
        <f>COUNTIFS(JOURNAL!F:F,"1",JOURNAL!L:L,"70-80",JOURNAL!O:O,"LS")</f>
        <v>0</v>
      </c>
      <c r="AQ6" s="271"/>
      <c r="AR6" s="58" t="s">
        <v>31</v>
      </c>
      <c r="AS6" s="166">
        <f>COUNTIFS(JOURNAL!F:F,"1",JOURNAL!L:L,"80-90",JOURNAL!O:O,"LS")</f>
        <v>0</v>
      </c>
      <c r="AT6" s="271"/>
      <c r="AU6" s="58" t="s">
        <v>31</v>
      </c>
      <c r="AV6" s="166">
        <f>COUNTIFS(JOURNAL!F:F,"1",JOURNAL!L:L,"90-100",JOURNAL!O:O,"LS")</f>
        <v>0</v>
      </c>
    </row>
    <row r="7" spans="2:48" ht="18.75" x14ac:dyDescent="0.25">
      <c r="B7" s="266"/>
      <c r="C7" s="114" t="s">
        <v>37</v>
      </c>
      <c r="D7" s="48">
        <f>COUNTIFS(JOURNAL!L:L,"50-60",JOURNAL!P:P,"DC")</f>
        <v>0</v>
      </c>
      <c r="E7" s="58" t="s">
        <v>31</v>
      </c>
      <c r="F7" s="48">
        <f>COUNTIFS(JOURNAL!L:L,"50-60",JOURNAL!O:O,"LS")</f>
        <v>0</v>
      </c>
      <c r="H7" s="266"/>
      <c r="I7" s="114" t="s">
        <v>37</v>
      </c>
      <c r="J7" s="48">
        <f>COUNTIFS(JOURNAL!L:L,"60-70",JOURNAL!P:P,"DC")</f>
        <v>0</v>
      </c>
      <c r="K7" s="58" t="s">
        <v>31</v>
      </c>
      <c r="L7" s="48">
        <f>COUNTIFS(JOURNAL!L:L,"60-70",JOURNAL!O:O,"LS")</f>
        <v>0</v>
      </c>
      <c r="N7" s="266"/>
      <c r="O7" s="114" t="s">
        <v>37</v>
      </c>
      <c r="P7" s="48">
        <f>COUNTIFS(JOURNAL!L:L,"70-80",JOURNAL!P:P,"DC")</f>
        <v>0</v>
      </c>
      <c r="Q7" s="58" t="s">
        <v>31</v>
      </c>
      <c r="R7" s="48">
        <f>COUNTIFS(JOURNAL!L:L,"70-80",JOURNAL!O:O,"LS")</f>
        <v>0</v>
      </c>
      <c r="T7" s="110" t="s">
        <v>59</v>
      </c>
      <c r="U7" s="155">
        <f>J36</f>
        <v>0</v>
      </c>
      <c r="V7" s="85">
        <f>SMALL(U3:U7,1)</f>
        <v>0</v>
      </c>
      <c r="X7" s="110" t="s">
        <v>59</v>
      </c>
      <c r="Y7" s="75">
        <f>L29</f>
        <v>0</v>
      </c>
      <c r="Z7" s="75">
        <f>L32</f>
        <v>0</v>
      </c>
      <c r="AA7" s="75">
        <f>L30</f>
        <v>0</v>
      </c>
      <c r="AB7" s="75">
        <f>L33</f>
        <v>0</v>
      </c>
      <c r="AC7" s="75">
        <f>L31</f>
        <v>0</v>
      </c>
      <c r="AD7" s="75">
        <f>L34</f>
        <v>0</v>
      </c>
      <c r="AE7" s="75">
        <f>L35</f>
        <v>0</v>
      </c>
      <c r="AG7" s="273"/>
      <c r="AH7" s="271"/>
      <c r="AI7" s="59" t="s">
        <v>33</v>
      </c>
      <c r="AJ7" s="166">
        <f>COUNTIFS(JOURNAL!F:F,"1",JOURNAL!L:L,"50-60",JOURNAL!O:O,"OT +")</f>
        <v>0</v>
      </c>
      <c r="AK7" s="271"/>
      <c r="AL7" s="59" t="s">
        <v>33</v>
      </c>
      <c r="AM7" s="166">
        <f>COUNTIFS(JOURNAL!F:F,"1",JOURNAL!L:L,"60-70",JOURNAL!O:O,"OT +")</f>
        <v>0</v>
      </c>
      <c r="AN7" s="271"/>
      <c r="AO7" s="59" t="s">
        <v>33</v>
      </c>
      <c r="AP7" s="166">
        <f>COUNTIFS(JOURNAL!F:F,"1",JOURNAL!L:L,"70-80",JOURNAL!O:O,"OT +")</f>
        <v>0</v>
      </c>
      <c r="AQ7" s="271"/>
      <c r="AR7" s="59" t="s">
        <v>33</v>
      </c>
      <c r="AS7" s="166">
        <f>COUNTIFS(JOURNAL!F:F,"1",JOURNAL!L:L,"80-90",JOURNAL!O:O,"OT +")</f>
        <v>0</v>
      </c>
      <c r="AT7" s="271"/>
      <c r="AU7" s="59" t="s">
        <v>33</v>
      </c>
      <c r="AV7" s="166">
        <f>COUNTIFS(JOURNAL!F:F,"1",JOURNAL!L:L,"90-100",JOURNAL!O:O,"OT +")</f>
        <v>0</v>
      </c>
    </row>
    <row r="8" spans="2:48" ht="21" customHeight="1" x14ac:dyDescent="0.25">
      <c r="B8" s="266"/>
      <c r="C8" s="115" t="s">
        <v>39</v>
      </c>
      <c r="D8" s="48">
        <f>COUNTIFS(JOURNAL!L:L,"50-60",JOURNAL!P:P,"RNG")</f>
        <v>0</v>
      </c>
      <c r="E8" s="59" t="s">
        <v>33</v>
      </c>
      <c r="F8" s="48">
        <f>COUNTIFS(JOURNAL!L:L,"50-60",JOURNAL!O:O,"OT +")</f>
        <v>0</v>
      </c>
      <c r="H8" s="266"/>
      <c r="I8" s="115" t="s">
        <v>39</v>
      </c>
      <c r="J8" s="48">
        <f>COUNTIFS(JOURNAL!L:L,"60-70",JOURNAL!P:P,"RNG")</f>
        <v>0</v>
      </c>
      <c r="K8" s="59" t="s">
        <v>33</v>
      </c>
      <c r="L8" s="48">
        <f>COUNTIFS(JOURNAL!L:L,"60-70",JOURNAL!O:O,"OT +")</f>
        <v>0</v>
      </c>
      <c r="N8" s="266"/>
      <c r="O8" s="115" t="s">
        <v>39</v>
      </c>
      <c r="P8" s="48">
        <f>COUNTIFS(JOURNAL!L:L,"70-80",JOURNAL!P:P,"RNG")</f>
        <v>0</v>
      </c>
      <c r="Q8" s="59" t="s">
        <v>33</v>
      </c>
      <c r="R8" s="48">
        <f>COUNTIFS(JOURNAL!L:L,"70-80",JOURNAL!O:O,"OT +")</f>
        <v>0</v>
      </c>
      <c r="AG8" s="273"/>
      <c r="AH8" s="271"/>
      <c r="AI8" s="60" t="s">
        <v>34</v>
      </c>
      <c r="AJ8" s="166">
        <f>COUNTIFS(JOURNAL!F:F,"1",JOURNAL!L:L,"50-60",JOURNAL!O:O,"OT -")</f>
        <v>0</v>
      </c>
      <c r="AK8" s="271"/>
      <c r="AL8" s="60" t="s">
        <v>34</v>
      </c>
      <c r="AM8" s="166">
        <f>COUNTIFS(JOURNAL!F:F,"1",JOURNAL!L:L,"60-70",JOURNAL!O:O,"OT -")</f>
        <v>0</v>
      </c>
      <c r="AN8" s="271"/>
      <c r="AO8" s="60" t="s">
        <v>34</v>
      </c>
      <c r="AP8" s="166">
        <f>COUNTIFS(JOURNAL!F:F,"1",JOURNAL!L:L,"70-80",JOURNAL!O:O,"OT -")</f>
        <v>0</v>
      </c>
      <c r="AQ8" s="271"/>
      <c r="AR8" s="60" t="s">
        <v>34</v>
      </c>
      <c r="AS8" s="166">
        <f>COUNTIFS(JOURNAL!F:F,"1",JOURNAL!L:L,"80-90",JOURNAL!O:O,"OT -")</f>
        <v>0</v>
      </c>
      <c r="AT8" s="271"/>
      <c r="AU8" s="60" t="s">
        <v>34</v>
      </c>
      <c r="AV8" s="166">
        <f>COUNTIFS(JOURNAL!F:F,"1",JOURNAL!L:L,"90-100",JOURNAL!O:O,"OT -")</f>
        <v>0</v>
      </c>
    </row>
    <row r="9" spans="2:48" ht="21" x14ac:dyDescent="0.25">
      <c r="B9" s="266"/>
      <c r="C9" s="116" t="s">
        <v>38</v>
      </c>
      <c r="D9" s="48">
        <f>COUNTIFS(JOURNAL!L:L,"50-60",JOURNAL!P:P,"Keep Went")</f>
        <v>0</v>
      </c>
      <c r="E9" s="60" t="s">
        <v>34</v>
      </c>
      <c r="F9" s="48">
        <f>COUNTIFS(JOURNAL!L:L,"50-60",JOURNAL!O:O,"OT -")</f>
        <v>0</v>
      </c>
      <c r="H9" s="266"/>
      <c r="I9" s="117" t="s">
        <v>38</v>
      </c>
      <c r="J9" s="87">
        <f>COUNTIFS(JOURNAL!L:L,"60-70",JOURNAL!P:P,"Keep Went")</f>
        <v>0</v>
      </c>
      <c r="K9" s="60" t="s">
        <v>34</v>
      </c>
      <c r="L9" s="48">
        <f>COUNTIFS(JOURNAL!L:L,"60-70",JOURNAL!O:O,"OT -")</f>
        <v>0</v>
      </c>
      <c r="N9" s="266"/>
      <c r="O9" s="117" t="s">
        <v>38</v>
      </c>
      <c r="P9" s="87">
        <f>COUNTIFS(JOURNAL!L:L,"70-80",JOURNAL!P:P,"Keep Went")</f>
        <v>0</v>
      </c>
      <c r="Q9" s="60" t="s">
        <v>34</v>
      </c>
      <c r="R9" s="48">
        <f>COUNTIFS(JOURNAL!L:L,"70-80",JOURNAL!O:O,"OT -")</f>
        <v>0</v>
      </c>
      <c r="T9" s="108" t="s">
        <v>58</v>
      </c>
      <c r="U9" s="109" t="s">
        <v>44</v>
      </c>
      <c r="V9" s="109" t="s">
        <v>168</v>
      </c>
      <c r="AG9" s="273"/>
      <c r="AH9" s="271"/>
      <c r="AI9" s="25" t="s">
        <v>115</v>
      </c>
      <c r="AJ9" s="166">
        <f>SUM(AJ2:AJ8)</f>
        <v>0</v>
      </c>
      <c r="AK9" s="271"/>
      <c r="AL9" s="25" t="s">
        <v>115</v>
      </c>
      <c r="AM9" s="166">
        <f>SUM(AM2:AM8)</f>
        <v>0</v>
      </c>
      <c r="AN9" s="271"/>
      <c r="AO9" s="25" t="s">
        <v>115</v>
      </c>
      <c r="AP9" s="166">
        <f>SUM(AP2:AP8)</f>
        <v>0</v>
      </c>
      <c r="AQ9" s="271"/>
      <c r="AR9" s="25" t="s">
        <v>115</v>
      </c>
      <c r="AS9" s="166">
        <f>SUM(AS2:AS8)</f>
        <v>0</v>
      </c>
      <c r="AT9" s="271"/>
      <c r="AU9" s="25" t="s">
        <v>115</v>
      </c>
      <c r="AV9" s="166">
        <f>SUM(AV2:AV8)</f>
        <v>0</v>
      </c>
    </row>
    <row r="10" spans="2:48" ht="21.75" customHeight="1" x14ac:dyDescent="0.25">
      <c r="B10" s="261"/>
      <c r="C10" s="118" t="s">
        <v>48</v>
      </c>
      <c r="D10" s="106">
        <f>SUMIF(JOURNAL!L:L,"50-60",JOURNAL!Q:Q)</f>
        <v>0</v>
      </c>
      <c r="E10" s="119" t="s">
        <v>44</v>
      </c>
      <c r="F10" s="155" t="e">
        <f>SUM(F3,F5,F6,F8)/C3</f>
        <v>#DIV/0!</v>
      </c>
      <c r="H10" s="261"/>
      <c r="I10" s="119" t="s">
        <v>48</v>
      </c>
      <c r="J10" s="155">
        <f>SUMIF(JOURNAL!L:L,"60-70",JOURNAL!Q:Q)</f>
        <v>0</v>
      </c>
      <c r="K10" s="119" t="s">
        <v>44</v>
      </c>
      <c r="L10" s="155" t="e">
        <f>SUM(L3,L5,L6,L8)/I3</f>
        <v>#DIV/0!</v>
      </c>
      <c r="N10" s="261"/>
      <c r="O10" s="119" t="s">
        <v>48</v>
      </c>
      <c r="P10" s="155">
        <f>SUMIF(JOURNAL!L:L,"70-80",JOURNAL!Q:Q)</f>
        <v>0</v>
      </c>
      <c r="Q10" s="119" t="s">
        <v>44</v>
      </c>
      <c r="R10" s="155" t="e">
        <f>SUM(R3,R5,R6,R8)/O3</f>
        <v>#DIV/0!</v>
      </c>
      <c r="T10" s="110" t="s">
        <v>18</v>
      </c>
      <c r="U10" s="155" t="e">
        <f>F10</f>
        <v>#DIV/0!</v>
      </c>
      <c r="V10" s="81" t="e">
        <f>SMALL(U10:U14,5)</f>
        <v>#DIV/0!</v>
      </c>
      <c r="AG10" s="273"/>
      <c r="AH10" s="272"/>
      <c r="AI10" s="29" t="s">
        <v>44</v>
      </c>
      <c r="AJ10" s="164" t="e">
        <f>SUM(AJ2,AJ4,AJ5,AJ7)/AJ9</f>
        <v>#DIV/0!</v>
      </c>
      <c r="AK10" s="272"/>
      <c r="AL10" s="29" t="s">
        <v>44</v>
      </c>
      <c r="AM10" s="164" t="e">
        <f>SUM(AM2,AM4,AM5,AM7)/AM9</f>
        <v>#DIV/0!</v>
      </c>
      <c r="AN10" s="272"/>
      <c r="AO10" s="29" t="s">
        <v>44</v>
      </c>
      <c r="AP10" s="164" t="e">
        <f>SUM(AP2,AP4,AP5,AP7)/AP9</f>
        <v>#DIV/0!</v>
      </c>
      <c r="AQ10" s="272"/>
      <c r="AR10" s="29" t="s">
        <v>44</v>
      </c>
      <c r="AS10" s="164" t="e">
        <f>SUM(AS2,AS4,AS5,AS7)/AS9</f>
        <v>#DIV/0!</v>
      </c>
      <c r="AT10" s="272"/>
      <c r="AU10" s="29" t="s">
        <v>44</v>
      </c>
      <c r="AV10" s="164" t="e">
        <f>SUM(AV2,AV4,AV5,AV7)/AV9</f>
        <v>#DIV/0!</v>
      </c>
    </row>
    <row r="11" spans="2:48" ht="18.75" x14ac:dyDescent="0.25">
      <c r="T11" s="110" t="s">
        <v>19</v>
      </c>
      <c r="U11" s="155" t="e">
        <f>L10</f>
        <v>#DIV/0!</v>
      </c>
      <c r="V11" s="82" t="e">
        <f>SMALL(U10:U14,4)</f>
        <v>#DIV/0!</v>
      </c>
    </row>
    <row r="12" spans="2:48" ht="18.75" customHeight="1" x14ac:dyDescent="0.25">
      <c r="T12" s="110" t="s">
        <v>20</v>
      </c>
      <c r="U12" s="155" t="e">
        <f>R10</f>
        <v>#DIV/0!</v>
      </c>
      <c r="V12" s="51" t="e">
        <f>SMALL(U10:U14,3)</f>
        <v>#DIV/0!</v>
      </c>
      <c r="AG12" s="273" t="s">
        <v>69</v>
      </c>
      <c r="AH12" s="270" t="s">
        <v>18</v>
      </c>
      <c r="AI12" s="54" t="s">
        <v>27</v>
      </c>
      <c r="AJ12" s="166">
        <f>COUNTIFS(JOURNAL!F:F,"2",JOURNAL!L:L,"50-60",JOURNAL!O:O,"TP")</f>
        <v>0</v>
      </c>
      <c r="AK12" s="270" t="s">
        <v>19</v>
      </c>
      <c r="AL12" s="54" t="s">
        <v>27</v>
      </c>
      <c r="AM12" s="166">
        <f>COUNTIFS(JOURNAL!F:F,"2",JOURNAL!L:L,"60-70",JOURNAL!O:O,"TP")</f>
        <v>0</v>
      </c>
      <c r="AN12" s="270" t="s">
        <v>20</v>
      </c>
      <c r="AO12" s="54" t="s">
        <v>27</v>
      </c>
      <c r="AP12" s="166">
        <f>COUNTIFS(JOURNAL!F:F,"2",JOURNAL!L:L,"70-80",JOURNAL!O:O,"TP")</f>
        <v>0</v>
      </c>
      <c r="AQ12" s="270" t="s">
        <v>21</v>
      </c>
      <c r="AR12" s="54" t="s">
        <v>27</v>
      </c>
      <c r="AS12" s="166">
        <f>COUNTIFS(JOURNAL!F:F,"2",JOURNAL!L:L,"80-90",JOURNAL!O:O,"TP")</f>
        <v>0</v>
      </c>
      <c r="AT12" s="270" t="s">
        <v>59</v>
      </c>
      <c r="AU12" s="54" t="s">
        <v>27</v>
      </c>
      <c r="AV12" s="166">
        <f>COUNTIFS(JOURNAL!F:F,"2",JOURNAL!L:L,"90-100",JOURNAL!O:O,"TP")</f>
        <v>0</v>
      </c>
    </row>
    <row r="13" spans="2:48" ht="21" customHeight="1" x14ac:dyDescent="0.25">
      <c r="T13" s="110" t="s">
        <v>21</v>
      </c>
      <c r="U13" s="155" t="e">
        <f>F36</f>
        <v>#DIV/0!</v>
      </c>
      <c r="V13" s="113" t="e">
        <f>SMALL(U10:U14,2)</f>
        <v>#DIV/0!</v>
      </c>
      <c r="AG13" s="273"/>
      <c r="AH13" s="271"/>
      <c r="AI13" s="55" t="s">
        <v>29</v>
      </c>
      <c r="AJ13" s="166">
        <f>COUNTIFS(JOURNAL!F:F,"2",JOURNAL!L:L,"50-60",JOURNAL!O:O,"SL")</f>
        <v>0</v>
      </c>
      <c r="AK13" s="271"/>
      <c r="AL13" s="55" t="s">
        <v>29</v>
      </c>
      <c r="AM13" s="166">
        <f>COUNTIFS(JOURNAL!F:F,"2",JOURNAL!L:L,"60-70",JOURNAL!O:O,"SL")</f>
        <v>0</v>
      </c>
      <c r="AN13" s="271"/>
      <c r="AO13" s="55" t="s">
        <v>29</v>
      </c>
      <c r="AP13" s="166">
        <f>COUNTIFS(JOURNAL!F:F,"2",JOURNAL!L:L,"70-80",JOURNAL!O:O,"SL")</f>
        <v>0</v>
      </c>
      <c r="AQ13" s="271"/>
      <c r="AR13" s="55" t="s">
        <v>29</v>
      </c>
      <c r="AS13" s="166">
        <f>COUNTIFS(JOURNAL!F:F,"2",JOURNAL!L:L,"80-90",JOURNAL!O:O,"SL")</f>
        <v>0</v>
      </c>
      <c r="AT13" s="271"/>
      <c r="AU13" s="55" t="s">
        <v>29</v>
      </c>
      <c r="AV13" s="166">
        <f>COUNTIFS(JOURNAL!F:F,"2",JOURNAL!L:L,"90-100",JOURNAL!O:O,"SL")</f>
        <v>0</v>
      </c>
    </row>
    <row r="14" spans="2:48" ht="19.5" customHeight="1" x14ac:dyDescent="0.25">
      <c r="T14" s="110" t="s">
        <v>59</v>
      </c>
      <c r="U14" s="155" t="e">
        <f>L36</f>
        <v>#DIV/0!</v>
      </c>
      <c r="V14" s="85" t="e">
        <f>SMALL(U10:U14,1)</f>
        <v>#DIV/0!</v>
      </c>
      <c r="AG14" s="273"/>
      <c r="AH14" s="271"/>
      <c r="AI14" s="56" t="s">
        <v>32</v>
      </c>
      <c r="AJ14" s="166">
        <f>COUNTIFS(JOURNAL!F:F,"2",JOURNAL!L:L,"50-60",JOURNAL!O:O,"RF")</f>
        <v>0</v>
      </c>
      <c r="AK14" s="271"/>
      <c r="AL14" s="56" t="s">
        <v>32</v>
      </c>
      <c r="AM14" s="166">
        <f>COUNTIFS(JOURNAL!F:F,"2",JOURNAL!L:L,"60-70",JOURNAL!O:O,"RF")</f>
        <v>0</v>
      </c>
      <c r="AN14" s="271"/>
      <c r="AO14" s="56" t="s">
        <v>32</v>
      </c>
      <c r="AP14" s="166">
        <f>COUNTIFS(JOURNAL!F:F,"2",JOURNAL!L:L,"70-80",JOURNAL!O:O,"RF")</f>
        <v>0</v>
      </c>
      <c r="AQ14" s="271"/>
      <c r="AR14" s="56" t="s">
        <v>32</v>
      </c>
      <c r="AS14" s="166">
        <f>COUNTIFS(JOURNAL!F:F,"2",JOURNAL!L:L,"80-90",JOURNAL!O:O,"RF")</f>
        <v>0</v>
      </c>
      <c r="AT14" s="271"/>
      <c r="AU14" s="56" t="s">
        <v>32</v>
      </c>
      <c r="AV14" s="166">
        <f>COUNTIFS(JOURNAL!F:F,"2",JOURNAL!L:L,"90-100",JOURNAL!O:O,"RF")</f>
        <v>0</v>
      </c>
    </row>
    <row r="15" spans="2:48" ht="18.75" customHeight="1" x14ac:dyDescent="0.25">
      <c r="AG15" s="273"/>
      <c r="AH15" s="271"/>
      <c r="AI15" s="57" t="s">
        <v>30</v>
      </c>
      <c r="AJ15" s="166">
        <f>COUNTIFS(JOURNAL!F:F,"2",JOURNAL!L:L,"50-60",JOURNAL!O:O,"PS")</f>
        <v>0</v>
      </c>
      <c r="AK15" s="271"/>
      <c r="AL15" s="57" t="s">
        <v>30</v>
      </c>
      <c r="AM15" s="166">
        <f>COUNTIFS(JOURNAL!F:F,"2",JOURNAL!L:L,"60-70",JOURNAL!O:O,"PS")</f>
        <v>0</v>
      </c>
      <c r="AN15" s="271"/>
      <c r="AO15" s="57" t="s">
        <v>30</v>
      </c>
      <c r="AP15" s="166">
        <f>COUNTIFS(JOURNAL!F:F,"2",JOURNAL!L:L,"70-80",JOURNAL!O:O,"PS")</f>
        <v>0</v>
      </c>
      <c r="AQ15" s="271"/>
      <c r="AR15" s="57" t="s">
        <v>30</v>
      </c>
      <c r="AS15" s="166">
        <f>COUNTIFS(JOURNAL!F:F,"2",JOURNAL!L:L,"80-90",JOURNAL!O:O,"PS")</f>
        <v>0</v>
      </c>
      <c r="AT15" s="271"/>
      <c r="AU15" s="57" t="s">
        <v>30</v>
      </c>
      <c r="AV15" s="166">
        <f>COUNTIFS(JOURNAL!F:F,"2",JOURNAL!L:L,"90-100",JOURNAL!O:O,"PS")</f>
        <v>0</v>
      </c>
    </row>
    <row r="16" spans="2:48" ht="19.5" customHeight="1" x14ac:dyDescent="0.25">
      <c r="AG16" s="273"/>
      <c r="AH16" s="271"/>
      <c r="AI16" s="58" t="s">
        <v>31</v>
      </c>
      <c r="AJ16" s="166">
        <f>COUNTIFS(JOURNAL!F:F,"2",JOURNAL!L:L,"50-60",JOURNAL!O:O,"LS")</f>
        <v>0</v>
      </c>
      <c r="AK16" s="271"/>
      <c r="AL16" s="58" t="s">
        <v>31</v>
      </c>
      <c r="AM16" s="166">
        <f>COUNTIFS(JOURNAL!F:F,"2",JOURNAL!L:L,"60-70",JOURNAL!O:O,"LS")</f>
        <v>0</v>
      </c>
      <c r="AN16" s="271"/>
      <c r="AO16" s="58" t="s">
        <v>31</v>
      </c>
      <c r="AP16" s="166">
        <f>COUNTIFS(JOURNAL!F:F,"2",JOURNAL!L:L,"70-80",JOURNAL!O:O,"LS")</f>
        <v>0</v>
      </c>
      <c r="AQ16" s="271"/>
      <c r="AR16" s="58" t="s">
        <v>31</v>
      </c>
      <c r="AS16" s="166">
        <f>COUNTIFS(JOURNAL!F:F,"2",JOURNAL!L:L,"80-90",JOURNAL!O:O,"LS")</f>
        <v>0</v>
      </c>
      <c r="AT16" s="271"/>
      <c r="AU16" s="58" t="s">
        <v>31</v>
      </c>
      <c r="AV16" s="166">
        <f>COUNTIFS(JOURNAL!F:F,"2",JOURNAL!L:L,"90-100",JOURNAL!O:O,"LS")</f>
        <v>0</v>
      </c>
    </row>
    <row r="17" spans="2:48" ht="19.5" customHeight="1" x14ac:dyDescent="0.25">
      <c r="AG17" s="273"/>
      <c r="AH17" s="271"/>
      <c r="AI17" s="59" t="s">
        <v>33</v>
      </c>
      <c r="AJ17" s="166">
        <f>COUNTIFS(JOURNAL!F:F,"2",JOURNAL!L:L,"50-60",JOURNAL!O:O,"OT +")</f>
        <v>0</v>
      </c>
      <c r="AK17" s="271"/>
      <c r="AL17" s="59" t="s">
        <v>33</v>
      </c>
      <c r="AM17" s="166">
        <f>COUNTIFS(JOURNAL!F:F,"2",JOURNAL!L:L,"60-70",JOURNAL!O:O,"OT +")</f>
        <v>0</v>
      </c>
      <c r="AN17" s="271"/>
      <c r="AO17" s="59" t="s">
        <v>33</v>
      </c>
      <c r="AP17" s="166">
        <f>COUNTIFS(JOURNAL!F:F,"2",JOURNAL!L:L,"70-80",JOURNAL!O:O,"OT +")</f>
        <v>0</v>
      </c>
      <c r="AQ17" s="271"/>
      <c r="AR17" s="59" t="s">
        <v>33</v>
      </c>
      <c r="AS17" s="166">
        <f>COUNTIFS(JOURNAL!F:F,"2",JOURNAL!L:L,"80-90",JOURNAL!O:O,"OT +")</f>
        <v>0</v>
      </c>
      <c r="AT17" s="271"/>
      <c r="AU17" s="59" t="s">
        <v>33</v>
      </c>
      <c r="AV17" s="166">
        <f>COUNTIFS(JOURNAL!F:F,"2",JOURNAL!L:L,"90-100",JOURNAL!O:O,"OT +")</f>
        <v>0</v>
      </c>
    </row>
    <row r="18" spans="2:48" ht="18.75" customHeight="1" x14ac:dyDescent="0.25">
      <c r="AG18" s="273"/>
      <c r="AH18" s="271"/>
      <c r="AI18" s="60" t="s">
        <v>34</v>
      </c>
      <c r="AJ18" s="166">
        <f>COUNTIFS(JOURNAL!F:F,"1",JOURNAL!L:L,"50-60",JOURNAL!O:O,"OT -")</f>
        <v>0</v>
      </c>
      <c r="AK18" s="271"/>
      <c r="AL18" s="60" t="s">
        <v>34</v>
      </c>
      <c r="AM18" s="166">
        <f>COUNTIFS(JOURNAL!F:F,"2",JOURNAL!L:L,"60-70",JOURNAL!O:O,"OT -")</f>
        <v>0</v>
      </c>
      <c r="AN18" s="271"/>
      <c r="AO18" s="60" t="s">
        <v>34</v>
      </c>
      <c r="AP18" s="166">
        <f>COUNTIFS(JOURNAL!F:F,"2",JOURNAL!L:L,"70-80",JOURNAL!O:O,"OT -")</f>
        <v>0</v>
      </c>
      <c r="AQ18" s="271"/>
      <c r="AR18" s="60" t="s">
        <v>34</v>
      </c>
      <c r="AS18" s="166">
        <f>COUNTIFS(JOURNAL!F:F,"2",JOURNAL!L:L,"80-90",JOURNAL!O:O,"OT -")</f>
        <v>0</v>
      </c>
      <c r="AT18" s="271"/>
      <c r="AU18" s="60" t="s">
        <v>34</v>
      </c>
      <c r="AV18" s="166">
        <f>COUNTIFS(JOURNAL!F:F,"2",JOURNAL!L:L,"90-100",JOURNAL!O:O,"OT -")</f>
        <v>0</v>
      </c>
    </row>
    <row r="19" spans="2:48" ht="19.5" customHeight="1" x14ac:dyDescent="0.25">
      <c r="AG19" s="273"/>
      <c r="AH19" s="271"/>
      <c r="AI19" s="25" t="s">
        <v>115</v>
      </c>
      <c r="AJ19" s="166">
        <f>SUM(AJ12:AJ18)</f>
        <v>0</v>
      </c>
      <c r="AK19" s="271"/>
      <c r="AL19" s="25" t="s">
        <v>115</v>
      </c>
      <c r="AM19" s="166">
        <f>SUM(AM12:AM18)</f>
        <v>0</v>
      </c>
      <c r="AN19" s="271"/>
      <c r="AO19" s="25" t="s">
        <v>115</v>
      </c>
      <c r="AP19" s="166">
        <f>SUM(AP12:AP18)</f>
        <v>0</v>
      </c>
      <c r="AQ19" s="271"/>
      <c r="AR19" s="25" t="s">
        <v>115</v>
      </c>
      <c r="AS19" s="166">
        <f>SUM(AS12:AS18)</f>
        <v>0</v>
      </c>
      <c r="AT19" s="271"/>
      <c r="AU19" s="25" t="s">
        <v>115</v>
      </c>
      <c r="AV19" s="166">
        <f>SUM(AV12:AV18)</f>
        <v>0</v>
      </c>
    </row>
    <row r="20" spans="2:48" ht="21.75" customHeight="1" x14ac:dyDescent="0.25">
      <c r="AG20" s="273"/>
      <c r="AH20" s="272"/>
      <c r="AI20" s="29" t="s">
        <v>44</v>
      </c>
      <c r="AJ20" s="164" t="e">
        <f>SUM(AJ12,AJ14,AJ15,AJ17)/AJ19</f>
        <v>#DIV/0!</v>
      </c>
      <c r="AK20" s="272"/>
      <c r="AL20" s="29" t="s">
        <v>44</v>
      </c>
      <c r="AM20" s="164" t="e">
        <f>SUM(AM12,AM14,AM15,AM17)/AM19</f>
        <v>#DIV/0!</v>
      </c>
      <c r="AN20" s="272"/>
      <c r="AO20" s="29" t="s">
        <v>44</v>
      </c>
      <c r="AP20" s="164" t="e">
        <f>SUM(AP12,AP14,AP15,AP17)/AP19</f>
        <v>#DIV/0!</v>
      </c>
      <c r="AQ20" s="272"/>
      <c r="AR20" s="29" t="s">
        <v>44</v>
      </c>
      <c r="AS20" s="164" t="e">
        <f>SUM(AS12,AS14,AS15,AS17)/AS19</f>
        <v>#DIV/0!</v>
      </c>
      <c r="AT20" s="272"/>
      <c r="AU20" s="29" t="s">
        <v>44</v>
      </c>
      <c r="AV20" s="164" t="e">
        <f>SUM(AV12,AV14,AV15,AV17)/AV19</f>
        <v>#DIV/0!</v>
      </c>
    </row>
    <row r="22" spans="2:48" ht="16.5" customHeight="1" x14ac:dyDescent="0.25">
      <c r="AG22" s="273" t="s">
        <v>70</v>
      </c>
      <c r="AH22" s="270" t="s">
        <v>18</v>
      </c>
      <c r="AI22" s="54" t="s">
        <v>27</v>
      </c>
      <c r="AJ22" s="166">
        <f>COUNTIFS(JOURNAL!F:F,"3",JOURNAL!L:L,"50-60",JOURNAL!O:O,"TP")</f>
        <v>0</v>
      </c>
      <c r="AK22" s="270" t="s">
        <v>19</v>
      </c>
      <c r="AL22" s="54" t="s">
        <v>27</v>
      </c>
      <c r="AM22" s="166">
        <f>COUNTIFS(JOURNAL!F:F,"3",JOURNAL!L:L,"60-70",JOURNAL!O:O,"TP")</f>
        <v>0</v>
      </c>
      <c r="AN22" s="270" t="s">
        <v>20</v>
      </c>
      <c r="AO22" s="54" t="s">
        <v>27</v>
      </c>
      <c r="AP22" s="166">
        <f>COUNTIFS(JOURNAL!F:F,"3",JOURNAL!L:L,"70-80",JOURNAL!O:O,"TP")</f>
        <v>0</v>
      </c>
      <c r="AQ22" s="270" t="s">
        <v>21</v>
      </c>
      <c r="AR22" s="54" t="s">
        <v>27</v>
      </c>
      <c r="AS22" s="166">
        <f>COUNTIFS(JOURNAL!F:F,"3",JOURNAL!L:L,"80-90",JOURNAL!O:O,"TP")</f>
        <v>0</v>
      </c>
      <c r="AT22" s="270" t="s">
        <v>59</v>
      </c>
      <c r="AU22" s="54" t="s">
        <v>27</v>
      </c>
      <c r="AV22" s="166">
        <f>COUNTIFS(JOURNAL!F:F,"3",JOURNAL!L:L,"90-100",JOURNAL!O:O,"TP")</f>
        <v>0</v>
      </c>
    </row>
    <row r="23" spans="2:48" ht="15.75" x14ac:dyDescent="0.25">
      <c r="AG23" s="273"/>
      <c r="AH23" s="271"/>
      <c r="AI23" s="55" t="s">
        <v>29</v>
      </c>
      <c r="AJ23" s="166">
        <f>COUNTIFS(JOURNAL!F:F,"3",JOURNAL!L:L,"50-60",JOURNAL!O:O,"SL")</f>
        <v>0</v>
      </c>
      <c r="AK23" s="271"/>
      <c r="AL23" s="55" t="s">
        <v>29</v>
      </c>
      <c r="AM23" s="166">
        <f>COUNTIFS(JOURNAL!F:F,"3",JOURNAL!L:L,"60-70",JOURNAL!O:O,"SL")</f>
        <v>0</v>
      </c>
      <c r="AN23" s="271"/>
      <c r="AO23" s="55" t="s">
        <v>29</v>
      </c>
      <c r="AP23" s="166">
        <f>COUNTIFS(JOURNAL!F:F,"3",JOURNAL!L:L,"70-80",JOURNAL!O:O,"SL")</f>
        <v>0</v>
      </c>
      <c r="AQ23" s="271"/>
      <c r="AR23" s="55" t="s">
        <v>29</v>
      </c>
      <c r="AS23" s="166">
        <f>COUNTIFS(JOURNAL!F:F,"3",JOURNAL!L:L,"80-90",JOURNAL!O:O,"SL")</f>
        <v>0</v>
      </c>
      <c r="AT23" s="271"/>
      <c r="AU23" s="55" t="s">
        <v>29</v>
      </c>
      <c r="AV23" s="166">
        <f>COUNTIFS(JOURNAL!F:F,"3",JOURNAL!L:L,"90-100",JOURNAL!O:O,"SL")</f>
        <v>0</v>
      </c>
    </row>
    <row r="24" spans="2:48" ht="15.75" x14ac:dyDescent="0.25">
      <c r="AG24" s="273"/>
      <c r="AH24" s="271"/>
      <c r="AI24" s="56" t="s">
        <v>32</v>
      </c>
      <c r="AJ24" s="166">
        <f>COUNTIFS(JOURNAL!F:F,"3",JOURNAL!L:L,"50-60",JOURNAL!O:O,"RF")</f>
        <v>0</v>
      </c>
      <c r="AK24" s="271"/>
      <c r="AL24" s="56" t="s">
        <v>32</v>
      </c>
      <c r="AM24" s="166">
        <f>COUNTIFS(JOURNAL!F:F,"3",JOURNAL!L:L,"60-70",JOURNAL!O:O,"RF")</f>
        <v>0</v>
      </c>
      <c r="AN24" s="271"/>
      <c r="AO24" s="56" t="s">
        <v>32</v>
      </c>
      <c r="AP24" s="166">
        <f>COUNTIFS(JOURNAL!F:F,"3",JOURNAL!L:L,"70-80",JOURNAL!O:O,"RF")</f>
        <v>0</v>
      </c>
      <c r="AQ24" s="271"/>
      <c r="AR24" s="56" t="s">
        <v>32</v>
      </c>
      <c r="AS24" s="166">
        <f>COUNTIFS(JOURNAL!F:F,"3",JOURNAL!L:L,"80-90",JOURNAL!O:O,"RF")</f>
        <v>0</v>
      </c>
      <c r="AT24" s="271"/>
      <c r="AU24" s="56" t="s">
        <v>32</v>
      </c>
      <c r="AV24" s="166">
        <f>COUNTIFS(JOURNAL!F:F,"3",JOURNAL!L:L,"90-100",JOURNAL!O:O,"RF")</f>
        <v>0</v>
      </c>
    </row>
    <row r="25" spans="2:48" ht="15.75" x14ac:dyDescent="0.25">
      <c r="AG25" s="273"/>
      <c r="AH25" s="271"/>
      <c r="AI25" s="57" t="s">
        <v>30</v>
      </c>
      <c r="AJ25" s="166">
        <f>COUNTIFS(JOURNAL!F:F,"3",JOURNAL!L:L,"50-60",JOURNAL!O:O,"PS")</f>
        <v>0</v>
      </c>
      <c r="AK25" s="271"/>
      <c r="AL25" s="57" t="s">
        <v>30</v>
      </c>
      <c r="AM25" s="166">
        <f>COUNTIFS(JOURNAL!F:F,"3",JOURNAL!L:L,"60-70",JOURNAL!O:O,"PS")</f>
        <v>0</v>
      </c>
      <c r="AN25" s="271"/>
      <c r="AO25" s="57" t="s">
        <v>30</v>
      </c>
      <c r="AP25" s="166">
        <f>COUNTIFS(JOURNAL!F:F,"3",JOURNAL!L:L,"70-80",JOURNAL!O:O,"PS")</f>
        <v>0</v>
      </c>
      <c r="AQ25" s="271"/>
      <c r="AR25" s="57" t="s">
        <v>30</v>
      </c>
      <c r="AS25" s="166">
        <f>COUNTIFS(JOURNAL!F:F,"3",JOURNAL!L:L,"80-90",JOURNAL!O:O,"PS")</f>
        <v>0</v>
      </c>
      <c r="AT25" s="271"/>
      <c r="AU25" s="57" t="s">
        <v>30</v>
      </c>
      <c r="AV25" s="166">
        <f>COUNTIFS(JOURNAL!F:F,"3",JOURNAL!L:L,"90-100",JOURNAL!O:O,"PS")</f>
        <v>0</v>
      </c>
    </row>
    <row r="26" spans="2:48" ht="15.75" x14ac:dyDescent="0.25">
      <c r="AG26" s="273"/>
      <c r="AH26" s="271"/>
      <c r="AI26" s="58" t="s">
        <v>31</v>
      </c>
      <c r="AJ26" s="166">
        <f>COUNTIFS(JOURNAL!F:F,"3",JOURNAL!L:L,"50-60",JOURNAL!O:O,"LS")</f>
        <v>0</v>
      </c>
      <c r="AK26" s="271"/>
      <c r="AL26" s="58" t="s">
        <v>31</v>
      </c>
      <c r="AM26" s="166">
        <f>COUNTIFS(JOURNAL!F:F,"3",JOURNAL!L:L,"60-70",JOURNAL!O:O,"LS")</f>
        <v>0</v>
      </c>
      <c r="AN26" s="271"/>
      <c r="AO26" s="58" t="s">
        <v>31</v>
      </c>
      <c r="AP26" s="166">
        <f>COUNTIFS(JOURNAL!F:F,"3",JOURNAL!L:L,"70-80",JOURNAL!O:O,"LS")</f>
        <v>0</v>
      </c>
      <c r="AQ26" s="271"/>
      <c r="AR26" s="58" t="s">
        <v>31</v>
      </c>
      <c r="AS26" s="166">
        <f>COUNTIFS(JOURNAL!F:F,"3",JOURNAL!L:L,"80-90",JOURNAL!O:O,"LS")</f>
        <v>0</v>
      </c>
      <c r="AT26" s="271"/>
      <c r="AU26" s="58" t="s">
        <v>31</v>
      </c>
      <c r="AV26" s="166">
        <f>COUNTIFS(JOURNAL!F:F,"3",JOURNAL!L:L,"90-100",JOURNAL!O:O,"LS")</f>
        <v>0</v>
      </c>
    </row>
    <row r="27" spans="2:48" ht="15.75" x14ac:dyDescent="0.25">
      <c r="AG27" s="273"/>
      <c r="AH27" s="271"/>
      <c r="AI27" s="59" t="s">
        <v>33</v>
      </c>
      <c r="AJ27" s="166">
        <f>COUNTIFS(JOURNAL!F:F,"3",JOURNAL!L:L,"50-60",JOURNAL!O:O,"OT +")</f>
        <v>0</v>
      </c>
      <c r="AK27" s="271"/>
      <c r="AL27" s="59" t="s">
        <v>33</v>
      </c>
      <c r="AM27" s="166">
        <f>COUNTIFS(JOURNAL!F:F,"3",JOURNAL!L:L,"60-70",JOURNAL!O:O,"OT +")</f>
        <v>0</v>
      </c>
      <c r="AN27" s="271"/>
      <c r="AO27" s="59" t="s">
        <v>33</v>
      </c>
      <c r="AP27" s="166">
        <f>COUNTIFS(JOURNAL!F:F,"3",JOURNAL!L:L,"70-80",JOURNAL!O:O,"OT +")</f>
        <v>0</v>
      </c>
      <c r="AQ27" s="271"/>
      <c r="AR27" s="59" t="s">
        <v>33</v>
      </c>
      <c r="AS27" s="166">
        <f>COUNTIFS(JOURNAL!F:F,"3",JOURNAL!L:L,"80-90",JOURNAL!O:O,"OT +")</f>
        <v>0</v>
      </c>
      <c r="AT27" s="271"/>
      <c r="AU27" s="59" t="s">
        <v>33</v>
      </c>
      <c r="AV27" s="166">
        <f>COUNTIFS(JOURNAL!F:F,"3",JOURNAL!L:L,"90-100",JOURNAL!O:O,"OT +")</f>
        <v>0</v>
      </c>
    </row>
    <row r="28" spans="2:48" ht="20.25" customHeight="1" x14ac:dyDescent="0.25">
      <c r="B28" s="257" t="s">
        <v>21</v>
      </c>
      <c r="C28" s="258"/>
      <c r="D28" s="258"/>
      <c r="E28" s="258"/>
      <c r="F28" s="259"/>
      <c r="H28" s="257" t="s">
        <v>59</v>
      </c>
      <c r="I28" s="258"/>
      <c r="J28" s="258"/>
      <c r="K28" s="258"/>
      <c r="L28" s="259"/>
      <c r="AG28" s="273"/>
      <c r="AH28" s="271"/>
      <c r="AI28" s="60" t="s">
        <v>34</v>
      </c>
      <c r="AJ28" s="166">
        <f>COUNTIFS(JOURNAL!F:F,"3",JOURNAL!L:L,"50-60",JOURNAL!O:O,"OT -")</f>
        <v>0</v>
      </c>
      <c r="AK28" s="271"/>
      <c r="AL28" s="60" t="s">
        <v>34</v>
      </c>
      <c r="AM28" s="166">
        <f>COUNTIFS(JOURNAL!F:F,"3",JOURNAL!L:L,"60-70",JOURNAL!O:O,"OT -")</f>
        <v>0</v>
      </c>
      <c r="AN28" s="271"/>
      <c r="AO28" s="60" t="s">
        <v>34</v>
      </c>
      <c r="AP28" s="166">
        <f>COUNTIFS(JOURNAL!F:F,"3",JOURNAL!L:L,"70-80",JOURNAL!O:O,"OT -")</f>
        <v>0</v>
      </c>
      <c r="AQ28" s="271"/>
      <c r="AR28" s="60" t="s">
        <v>34</v>
      </c>
      <c r="AS28" s="166">
        <f>COUNTIFS(JOURNAL!F:F,"3",JOURNAL!L:L,"80-90",JOURNAL!O:O,"OT -")</f>
        <v>0</v>
      </c>
      <c r="AT28" s="271"/>
      <c r="AU28" s="60" t="s">
        <v>34</v>
      </c>
      <c r="AV28" s="166">
        <f>COUNTIFS(JOURNAL!F:F,"3",JOURNAL!L:L,"90-100",JOURNAL!O:O,"OT -")</f>
        <v>0</v>
      </c>
    </row>
    <row r="29" spans="2:48" ht="15.75" x14ac:dyDescent="0.25">
      <c r="B29" s="260" t="s">
        <v>43</v>
      </c>
      <c r="C29" s="262">
        <f>COUNTIF(JOURNAL!L:L,"80-90")</f>
        <v>0</v>
      </c>
      <c r="D29" s="263"/>
      <c r="E29" s="54" t="s">
        <v>27</v>
      </c>
      <c r="F29" s="48">
        <f>COUNTIFS(JOURNAL!L:L,"80-90",JOURNAL!O:O,"TP")</f>
        <v>0</v>
      </c>
      <c r="H29" s="260" t="s">
        <v>43</v>
      </c>
      <c r="I29" s="262">
        <f>COUNTIF(JOURNAL!L:L,"90-100")</f>
        <v>0</v>
      </c>
      <c r="J29" s="263"/>
      <c r="K29" s="54" t="s">
        <v>27</v>
      </c>
      <c r="L29" s="48">
        <f>COUNTIFS(JOURNAL!L:L,"90-100",JOURNAL!O:O,"TP")</f>
        <v>0</v>
      </c>
      <c r="AG29" s="273"/>
      <c r="AH29" s="271"/>
      <c r="AI29" s="25" t="s">
        <v>115</v>
      </c>
      <c r="AJ29" s="166">
        <f>SUM(AJ22:AJ28)</f>
        <v>0</v>
      </c>
      <c r="AK29" s="271"/>
      <c r="AL29" s="25" t="s">
        <v>115</v>
      </c>
      <c r="AM29" s="166">
        <f>SUM(AM22:AM28)</f>
        <v>0</v>
      </c>
      <c r="AN29" s="271"/>
      <c r="AO29" s="25" t="s">
        <v>115</v>
      </c>
      <c r="AP29" s="166">
        <f>SUM(AP22:AP28)</f>
        <v>0</v>
      </c>
      <c r="AQ29" s="271"/>
      <c r="AR29" s="25" t="s">
        <v>115</v>
      </c>
      <c r="AS29" s="166">
        <f>SUM(AS22:AS28)</f>
        <v>0</v>
      </c>
      <c r="AT29" s="271"/>
      <c r="AU29" s="25" t="s">
        <v>115</v>
      </c>
      <c r="AV29" s="166">
        <f>SUM(AV22:AV28)</f>
        <v>0</v>
      </c>
    </row>
    <row r="30" spans="2:48" ht="15.75" x14ac:dyDescent="0.25">
      <c r="B30" s="261"/>
      <c r="C30" s="264"/>
      <c r="D30" s="265"/>
      <c r="E30" s="55" t="s">
        <v>29</v>
      </c>
      <c r="F30" s="48">
        <f>COUNTIFS(JOURNAL!L:L,"80-90",JOURNAL!O:O,"SL")</f>
        <v>0</v>
      </c>
      <c r="H30" s="261"/>
      <c r="I30" s="264"/>
      <c r="J30" s="265"/>
      <c r="K30" s="55" t="s">
        <v>29</v>
      </c>
      <c r="L30" s="48">
        <f>COUNTIFS(JOURNAL!L:L,"90-100",JOURNAL!O:O,"SL")</f>
        <v>0</v>
      </c>
      <c r="AG30" s="273"/>
      <c r="AH30" s="272"/>
      <c r="AI30" s="29" t="s">
        <v>44</v>
      </c>
      <c r="AJ30" s="164" t="e">
        <f>SUM(AJ22,AJ24,AJ25,AJ27)/AJ29</f>
        <v>#DIV/0!</v>
      </c>
      <c r="AK30" s="272"/>
      <c r="AL30" s="29" t="s">
        <v>44</v>
      </c>
      <c r="AM30" s="164" t="e">
        <f>SUM(AM22,AM24,AM25,AM27)/AM29</f>
        <v>#DIV/0!</v>
      </c>
      <c r="AN30" s="272"/>
      <c r="AO30" s="29" t="s">
        <v>44</v>
      </c>
      <c r="AP30" s="164" t="e">
        <f>SUM(AP22,AP24,AP25,AP27)/AP29</f>
        <v>#DIV/0!</v>
      </c>
      <c r="AQ30" s="272"/>
      <c r="AR30" s="29" t="s">
        <v>44</v>
      </c>
      <c r="AS30" s="164" t="e">
        <f>SUM(AS22,AS24,AS25,AS27)/AS29</f>
        <v>#DIV/0!</v>
      </c>
      <c r="AT30" s="272"/>
      <c r="AU30" s="29" t="s">
        <v>44</v>
      </c>
      <c r="AV30" s="164" t="e">
        <f>SUM(AV22,AV24,AV25,AV27)/AV29</f>
        <v>#DIV/0!</v>
      </c>
    </row>
    <row r="31" spans="2:48" ht="15.75" x14ac:dyDescent="0.25">
      <c r="B31" s="260" t="s">
        <v>45</v>
      </c>
      <c r="C31" s="111" t="s">
        <v>36</v>
      </c>
      <c r="D31" s="48">
        <f>COUNTIFS(JOURNAL!L:L,"80-90",JOURNAL!P:P,"SF")</f>
        <v>0</v>
      </c>
      <c r="E31" s="56" t="s">
        <v>32</v>
      </c>
      <c r="F31" s="48">
        <f>COUNTIFS(JOURNAL!L:L,"80-90",JOURNAL!O:O,"RF")</f>
        <v>0</v>
      </c>
      <c r="H31" s="260" t="s">
        <v>45</v>
      </c>
      <c r="I31" s="111" t="s">
        <v>36</v>
      </c>
      <c r="J31" s="48">
        <f>COUNTIFS(JOURNAL!L:L,"90-100",JOURNAL!P:P,"SF")</f>
        <v>0</v>
      </c>
      <c r="K31" s="56" t="s">
        <v>32</v>
      </c>
      <c r="L31" s="48">
        <f>COUNTIFS(JOURNAL!L:L,"90-100",JOURNAL!O:O,"RF")</f>
        <v>0</v>
      </c>
    </row>
    <row r="32" spans="2:48" ht="15.75" customHeight="1" x14ac:dyDescent="0.25">
      <c r="B32" s="266"/>
      <c r="C32" s="112" t="s">
        <v>28</v>
      </c>
      <c r="D32" s="48">
        <f>COUNTIFS(JOURNAL!L:L,"80-90",JOURNAL!P:P,"TC")</f>
        <v>0</v>
      </c>
      <c r="E32" s="57" t="s">
        <v>30</v>
      </c>
      <c r="F32" s="48">
        <f>COUNTIFS(JOURNAL!L:L,"80-90",JOURNAL!O:O,"PS")</f>
        <v>0</v>
      </c>
      <c r="H32" s="266"/>
      <c r="I32" s="112" t="s">
        <v>28</v>
      </c>
      <c r="J32" s="48">
        <f>COUNTIFS(JOURNAL!L:L,"90-100",JOURNAL!P:P,"TC")</f>
        <v>0</v>
      </c>
      <c r="K32" s="57" t="s">
        <v>30</v>
      </c>
      <c r="L32" s="48">
        <f>COUNTIFS(JOURNAL!L:L,"90-100",JOURNAL!O:O,"PS")</f>
        <v>0</v>
      </c>
      <c r="AG32" s="273" t="s">
        <v>71</v>
      </c>
      <c r="AH32" s="270" t="s">
        <v>18</v>
      </c>
      <c r="AI32" s="54" t="s">
        <v>27</v>
      </c>
      <c r="AJ32" s="166">
        <f>COUNTIFS(JOURNAL!F:F,"4",JOURNAL!L:L,"50-60",JOURNAL!O:O,"TP")</f>
        <v>0</v>
      </c>
      <c r="AK32" s="270" t="s">
        <v>19</v>
      </c>
      <c r="AL32" s="54" t="s">
        <v>27</v>
      </c>
      <c r="AM32" s="166">
        <f>COUNTIFS(JOURNAL!F:F,"4",JOURNAL!L:L,"60-70",JOURNAL!O:O,"TP")</f>
        <v>0</v>
      </c>
      <c r="AN32" s="270" t="s">
        <v>20</v>
      </c>
      <c r="AO32" s="54" t="s">
        <v>27</v>
      </c>
      <c r="AP32" s="166">
        <f>COUNTIFS(JOURNAL!F:F,"4",JOURNAL!L:L,"70-80",JOURNAL!O:O,"TP")</f>
        <v>0</v>
      </c>
      <c r="AQ32" s="270" t="s">
        <v>21</v>
      </c>
      <c r="AR32" s="54" t="s">
        <v>27</v>
      </c>
      <c r="AS32" s="166">
        <f>COUNTIFS(JOURNAL!F:F,"4",JOURNAL!L:L,"80-90",JOURNAL!O:O,"TP")</f>
        <v>0</v>
      </c>
      <c r="AT32" s="270" t="s">
        <v>59</v>
      </c>
      <c r="AU32" s="54" t="s">
        <v>27</v>
      </c>
      <c r="AV32" s="166">
        <f>COUNTIFS(JOURNAL!F:F,"4",JOURNAL!L:L,"90-100",JOURNAL!O:O,"TP")</f>
        <v>0</v>
      </c>
    </row>
    <row r="33" spans="2:48" ht="15.75" x14ac:dyDescent="0.25">
      <c r="B33" s="266"/>
      <c r="C33" s="114" t="s">
        <v>37</v>
      </c>
      <c r="D33" s="48">
        <f>COUNTIFS(JOURNAL!L:L,"80-90",JOURNAL!P:P,"DC")</f>
        <v>0</v>
      </c>
      <c r="E33" s="58" t="s">
        <v>31</v>
      </c>
      <c r="F33" s="48">
        <f>COUNTIFS(JOURNAL!L:L,"80-90",JOURNAL!O:O,"LS")</f>
        <v>0</v>
      </c>
      <c r="H33" s="266"/>
      <c r="I33" s="114" t="s">
        <v>37</v>
      </c>
      <c r="J33" s="48">
        <f>COUNTIFS(JOURNAL!L:L,"90-100",JOURNAL!P:P,"DC")</f>
        <v>0</v>
      </c>
      <c r="K33" s="58" t="s">
        <v>31</v>
      </c>
      <c r="L33" s="48">
        <f>COUNTIFS(JOURNAL!L:L,"90-100",JOURNAL!O:O,"LS")</f>
        <v>0</v>
      </c>
      <c r="AG33" s="273"/>
      <c r="AH33" s="271"/>
      <c r="AI33" s="55" t="s">
        <v>29</v>
      </c>
      <c r="AJ33" s="166">
        <f>COUNTIFS(JOURNAL!F:F,"4",JOURNAL!L:L,"50-60",JOURNAL!O:O,"SL")</f>
        <v>0</v>
      </c>
      <c r="AK33" s="271"/>
      <c r="AL33" s="55" t="s">
        <v>29</v>
      </c>
      <c r="AM33" s="166">
        <f>COUNTIFS(JOURNAL!F:F,"4",JOURNAL!L:L,"60-70",JOURNAL!O:O,"SL")</f>
        <v>0</v>
      </c>
      <c r="AN33" s="271"/>
      <c r="AO33" s="55" t="s">
        <v>29</v>
      </c>
      <c r="AP33" s="166">
        <f>COUNTIFS(JOURNAL!F:F,"4",JOURNAL!L:L,"70-80",JOURNAL!O:O,"SL")</f>
        <v>0</v>
      </c>
      <c r="AQ33" s="271"/>
      <c r="AR33" s="55" t="s">
        <v>29</v>
      </c>
      <c r="AS33" s="166">
        <f>COUNTIFS(JOURNAL!F:F,"4",JOURNAL!L:L,"80-90",JOURNAL!O:O,"SL")</f>
        <v>0</v>
      </c>
      <c r="AT33" s="271"/>
      <c r="AU33" s="55" t="s">
        <v>29</v>
      </c>
      <c r="AV33" s="166">
        <f>COUNTIFS(JOURNAL!F:F,"4",JOURNAL!L:L,"90-100",JOURNAL!O:O,"SL")</f>
        <v>0</v>
      </c>
    </row>
    <row r="34" spans="2:48" ht="15.75" x14ac:dyDescent="0.25">
      <c r="B34" s="266"/>
      <c r="C34" s="115" t="s">
        <v>39</v>
      </c>
      <c r="D34" s="48">
        <f>COUNTIFS(JOURNAL!L:L,"80-90",JOURNAL!P:P,"RNG")</f>
        <v>0</v>
      </c>
      <c r="E34" s="59" t="s">
        <v>33</v>
      </c>
      <c r="F34" s="48">
        <f>COUNTIFS(JOURNAL!L:L,"80-90",JOURNAL!O:O,"OT +")</f>
        <v>0</v>
      </c>
      <c r="H34" s="266"/>
      <c r="I34" s="115" t="s">
        <v>39</v>
      </c>
      <c r="J34" s="48">
        <f>COUNTIFS(JOURNAL!L:L,"90-100",JOURNAL!P:P,"RNG")</f>
        <v>0</v>
      </c>
      <c r="K34" s="59" t="s">
        <v>33</v>
      </c>
      <c r="L34" s="48">
        <f>COUNTIFS(JOURNAL!L:L,"90-100",JOURNAL!O:O,"OT +")</f>
        <v>0</v>
      </c>
      <c r="AG34" s="273"/>
      <c r="AH34" s="271"/>
      <c r="AI34" s="56" t="s">
        <v>32</v>
      </c>
      <c r="AJ34" s="166">
        <f>COUNTIFS(JOURNAL!F:F,"4",JOURNAL!L:L,"50-60",JOURNAL!O:O,"RF")</f>
        <v>0</v>
      </c>
      <c r="AK34" s="271"/>
      <c r="AL34" s="56" t="s">
        <v>32</v>
      </c>
      <c r="AM34" s="166">
        <f>COUNTIFS(JOURNAL!F:F,"4",JOURNAL!L:L,"60-70",JOURNAL!O:O,"RF")</f>
        <v>0</v>
      </c>
      <c r="AN34" s="271"/>
      <c r="AO34" s="56" t="s">
        <v>32</v>
      </c>
      <c r="AP34" s="166">
        <f>COUNTIFS(JOURNAL!F:F,"4",JOURNAL!L:L,"70-80",JOURNAL!O:O,"RF")</f>
        <v>0</v>
      </c>
      <c r="AQ34" s="271"/>
      <c r="AR34" s="56" t="s">
        <v>32</v>
      </c>
      <c r="AS34" s="166">
        <f>COUNTIFS(JOURNAL!F:F,"4",JOURNAL!L:L,"80-90",JOURNAL!O:O,"RF")</f>
        <v>0</v>
      </c>
      <c r="AT34" s="271"/>
      <c r="AU34" s="56" t="s">
        <v>32</v>
      </c>
      <c r="AV34" s="166">
        <f>COUNTIFS(JOURNAL!F:F,"4",JOURNAL!L:L,"90-100",JOURNAL!O:O,"RF")</f>
        <v>0</v>
      </c>
    </row>
    <row r="35" spans="2:48" ht="21.75" customHeight="1" x14ac:dyDescent="0.25">
      <c r="B35" s="266"/>
      <c r="C35" s="120" t="s">
        <v>38</v>
      </c>
      <c r="D35" s="48">
        <f>COUNTIFS(JOURNAL!L:L,"80-90",JOURNAL!P:P,"Keep Went")</f>
        <v>0</v>
      </c>
      <c r="E35" s="60" t="s">
        <v>34</v>
      </c>
      <c r="F35" s="48">
        <f>COUNTIFS(JOURNAL!L:L,"80-90",JOURNAL!O:O,"OT -")</f>
        <v>0</v>
      </c>
      <c r="H35" s="266"/>
      <c r="I35" s="116" t="s">
        <v>38</v>
      </c>
      <c r="J35" s="48">
        <f>COUNTIFS(JOURNAL!L:L,"90-100",JOURNAL!P:P,"Keep Went")</f>
        <v>0</v>
      </c>
      <c r="K35" s="60" t="s">
        <v>34</v>
      </c>
      <c r="L35" s="48">
        <f>COUNTIFS(JOURNAL!L:L,"90-100",JOURNAL!O:O,"OT -")</f>
        <v>0</v>
      </c>
      <c r="AG35" s="273"/>
      <c r="AH35" s="271"/>
      <c r="AI35" s="57" t="s">
        <v>30</v>
      </c>
      <c r="AJ35" s="166">
        <f>COUNTIFS(JOURNAL!F:F,"4",JOURNAL!L:L,"50-60",JOURNAL!O:O,"PS")</f>
        <v>0</v>
      </c>
      <c r="AK35" s="271"/>
      <c r="AL35" s="57" t="s">
        <v>30</v>
      </c>
      <c r="AM35" s="166">
        <f>COUNTIFS(JOURNAL!F:F,"4",JOURNAL!L:L,"60-70",JOURNAL!O:O,"PS")</f>
        <v>0</v>
      </c>
      <c r="AN35" s="271"/>
      <c r="AO35" s="57" t="s">
        <v>30</v>
      </c>
      <c r="AP35" s="166">
        <f>COUNTIFS(JOURNAL!F:F,"4",JOURNAL!L:L,"70-80",JOURNAL!O:O,"PS")</f>
        <v>0</v>
      </c>
      <c r="AQ35" s="271"/>
      <c r="AR35" s="57" t="s">
        <v>30</v>
      </c>
      <c r="AS35" s="166">
        <f>COUNTIFS(JOURNAL!F:F,"4",JOURNAL!L:L,"80-90",JOURNAL!O:O,"PS")</f>
        <v>0</v>
      </c>
      <c r="AT35" s="271"/>
      <c r="AU35" s="57" t="s">
        <v>30</v>
      </c>
      <c r="AV35" s="166">
        <f>COUNTIFS(JOURNAL!F:F,"4",JOURNAL!L:L,"90-100",JOURNAL!O:O,"PS")</f>
        <v>0</v>
      </c>
    </row>
    <row r="36" spans="2:48" ht="19.5" customHeight="1" x14ac:dyDescent="0.25">
      <c r="B36" s="261"/>
      <c r="C36" s="118" t="s">
        <v>48</v>
      </c>
      <c r="D36" s="106">
        <f>SUMIF(JOURNAL!L:L,"80-90",JOURNAL!Q:Q)</f>
        <v>0</v>
      </c>
      <c r="E36" s="121" t="s">
        <v>44</v>
      </c>
      <c r="F36" s="155" t="e">
        <f>SUM(F29,F31,F32,F34)/C29</f>
        <v>#DIV/0!</v>
      </c>
      <c r="H36" s="261"/>
      <c r="I36" s="118" t="s">
        <v>48</v>
      </c>
      <c r="J36" s="106">
        <f>SUMIF(JOURNAL!L:L,"90-100",JOURNAL!Q:Q)</f>
        <v>0</v>
      </c>
      <c r="K36" s="121" t="s">
        <v>44</v>
      </c>
      <c r="L36" s="155" t="e">
        <f>SUM(L29,L31,L32,L34)/I29</f>
        <v>#DIV/0!</v>
      </c>
      <c r="AG36" s="273"/>
      <c r="AH36" s="271"/>
      <c r="AI36" s="58" t="s">
        <v>31</v>
      </c>
      <c r="AJ36" s="166">
        <f>COUNTIFS(JOURNAL!F:F,"4",JOURNAL!L:L,"50-60",JOURNAL!O:O,"LS")</f>
        <v>0</v>
      </c>
      <c r="AK36" s="271"/>
      <c r="AL36" s="58" t="s">
        <v>31</v>
      </c>
      <c r="AM36" s="166">
        <f>COUNTIFS(JOURNAL!F:F,"4",JOURNAL!L:L,"60-70",JOURNAL!O:O,"LS")</f>
        <v>0</v>
      </c>
      <c r="AN36" s="271"/>
      <c r="AO36" s="58" t="s">
        <v>31</v>
      </c>
      <c r="AP36" s="166">
        <f>COUNTIFS(JOURNAL!F:F,"4",JOURNAL!L:L,"70-80",JOURNAL!O:O,"LS")</f>
        <v>0</v>
      </c>
      <c r="AQ36" s="271"/>
      <c r="AR36" s="58" t="s">
        <v>31</v>
      </c>
      <c r="AS36" s="166">
        <f>COUNTIFS(JOURNAL!F:F,"4",JOURNAL!L:L,"80-90",JOURNAL!O:O,"LS")</f>
        <v>0</v>
      </c>
      <c r="AT36" s="271"/>
      <c r="AU36" s="58" t="s">
        <v>31</v>
      </c>
      <c r="AV36" s="166">
        <f>COUNTIFS(JOURNAL!F:F,"4",JOURNAL!L:L,"90-100",JOURNAL!O:O,"LS")</f>
        <v>0</v>
      </c>
    </row>
    <row r="37" spans="2:48" ht="15.75" x14ac:dyDescent="0.25">
      <c r="AG37" s="273"/>
      <c r="AH37" s="271"/>
      <c r="AI37" s="59" t="s">
        <v>33</v>
      </c>
      <c r="AJ37" s="166">
        <f>COUNTIFS(JOURNAL!F:F,"4",JOURNAL!L:L,"50-60",JOURNAL!O:O,"OT +")</f>
        <v>0</v>
      </c>
      <c r="AK37" s="271"/>
      <c r="AL37" s="59" t="s">
        <v>33</v>
      </c>
      <c r="AM37" s="166">
        <f>COUNTIFS(JOURNAL!F:F,"4",JOURNAL!L:L,"60-70",JOURNAL!O:O,"OT +")</f>
        <v>0</v>
      </c>
      <c r="AN37" s="271"/>
      <c r="AO37" s="59" t="s">
        <v>33</v>
      </c>
      <c r="AP37" s="166">
        <f>COUNTIFS(JOURNAL!F:F,"4",JOURNAL!L:L,"70-80",JOURNAL!O:O,"OT +")</f>
        <v>0</v>
      </c>
      <c r="AQ37" s="271"/>
      <c r="AR37" s="59" t="s">
        <v>33</v>
      </c>
      <c r="AS37" s="166">
        <f>COUNTIFS(JOURNAL!F:F,"4",JOURNAL!L:L,"80-90",JOURNAL!O:O,"OT +")</f>
        <v>0</v>
      </c>
      <c r="AT37" s="271"/>
      <c r="AU37" s="59" t="s">
        <v>33</v>
      </c>
      <c r="AV37" s="166">
        <f>COUNTIFS(JOURNAL!F:F,"4",JOURNAL!L:L,"90-100",JOURNAL!O:O,"OT +")</f>
        <v>0</v>
      </c>
    </row>
    <row r="38" spans="2:48" ht="15.75" x14ac:dyDescent="0.25">
      <c r="AG38" s="273"/>
      <c r="AH38" s="271"/>
      <c r="AI38" s="60" t="s">
        <v>34</v>
      </c>
      <c r="AJ38" s="166">
        <f>COUNTIFS(JOURNAL!F:F,"4",JOURNAL!L:L,"50-60",JOURNAL!O:O,"OT -")</f>
        <v>0</v>
      </c>
      <c r="AK38" s="271"/>
      <c r="AL38" s="60" t="s">
        <v>34</v>
      </c>
      <c r="AM38" s="166">
        <f>COUNTIFS(JOURNAL!F:F,"4",JOURNAL!L:L,"60-70",JOURNAL!O:O,"OT -")</f>
        <v>0</v>
      </c>
      <c r="AN38" s="271"/>
      <c r="AO38" s="60" t="s">
        <v>34</v>
      </c>
      <c r="AP38" s="166">
        <f>COUNTIFS(JOURNAL!F:F,"4",JOURNAL!L:L,"70-80",JOURNAL!O:O,"OT -")</f>
        <v>0</v>
      </c>
      <c r="AQ38" s="271"/>
      <c r="AR38" s="60" t="s">
        <v>34</v>
      </c>
      <c r="AS38" s="166">
        <f>COUNTIFS(JOURNAL!F:F,"4",JOURNAL!L:L,"80-90",JOURNAL!O:O,"OT -")</f>
        <v>0</v>
      </c>
      <c r="AT38" s="271"/>
      <c r="AU38" s="60" t="s">
        <v>34</v>
      </c>
      <c r="AV38" s="166">
        <f>COUNTIFS(JOURNAL!F:F,"4",JOURNAL!L:L,"90-100",JOURNAL!O:O,"OT -")</f>
        <v>0</v>
      </c>
    </row>
    <row r="39" spans="2:48" ht="15.75" x14ac:dyDescent="0.25">
      <c r="AG39" s="273"/>
      <c r="AH39" s="271"/>
      <c r="AI39" s="25" t="s">
        <v>115</v>
      </c>
      <c r="AJ39" s="166">
        <f>SUM(AJ32:AJ38)</f>
        <v>0</v>
      </c>
      <c r="AK39" s="271"/>
      <c r="AL39" s="25" t="s">
        <v>115</v>
      </c>
      <c r="AM39" s="166">
        <f>SUM(AM32:AM38)</f>
        <v>0</v>
      </c>
      <c r="AN39" s="271"/>
      <c r="AO39" s="25" t="s">
        <v>115</v>
      </c>
      <c r="AP39" s="166">
        <f>SUM(AP32:AP38)</f>
        <v>0</v>
      </c>
      <c r="AQ39" s="271"/>
      <c r="AR39" s="25" t="s">
        <v>115</v>
      </c>
      <c r="AS39" s="166">
        <f>SUM(AS32:AS38)</f>
        <v>0</v>
      </c>
      <c r="AT39" s="271"/>
      <c r="AU39" s="25" t="s">
        <v>115</v>
      </c>
      <c r="AV39" s="166">
        <f>SUM(AV32:AV38)</f>
        <v>0</v>
      </c>
    </row>
    <row r="40" spans="2:48" ht="15.75" x14ac:dyDescent="0.25">
      <c r="AG40" s="273"/>
      <c r="AH40" s="272"/>
      <c r="AI40" s="29" t="s">
        <v>44</v>
      </c>
      <c r="AJ40" s="164" t="e">
        <f>SUM(AJ32,AJ34,AJ35,AJ37)/AJ39</f>
        <v>#DIV/0!</v>
      </c>
      <c r="AK40" s="272"/>
      <c r="AL40" s="29" t="s">
        <v>44</v>
      </c>
      <c r="AM40" s="164" t="e">
        <f>SUM(AM32,AM34,AM35,AM37)/AM39</f>
        <v>#DIV/0!</v>
      </c>
      <c r="AN40" s="272"/>
      <c r="AO40" s="29" t="s">
        <v>44</v>
      </c>
      <c r="AP40" s="164" t="e">
        <f>SUM(AP32,AP34,AP35,AP37)/AP39</f>
        <v>#DIV/0!</v>
      </c>
      <c r="AQ40" s="272"/>
      <c r="AR40" s="29" t="s">
        <v>44</v>
      </c>
      <c r="AS40" s="164" t="e">
        <f>SUM(AS32,AS34,AS35,AS37)/AS39</f>
        <v>#DIV/0!</v>
      </c>
      <c r="AT40" s="272"/>
      <c r="AU40" s="29" t="s">
        <v>44</v>
      </c>
      <c r="AV40" s="164" t="e">
        <f>SUM(AV32,AV34,AV35,AV37)/AV39</f>
        <v>#DIV/0!</v>
      </c>
    </row>
    <row r="42" spans="2:48" ht="15.75" customHeight="1" x14ac:dyDescent="0.25">
      <c r="AG42" s="273" t="s">
        <v>72</v>
      </c>
      <c r="AH42" s="270" t="s">
        <v>18</v>
      </c>
      <c r="AI42" s="54" t="s">
        <v>27</v>
      </c>
      <c r="AJ42" s="166">
        <f>COUNTIFS(JOURNAL!F:F,"5",JOURNAL!L:L,"50-60",JOURNAL!O:O,"TP")</f>
        <v>0</v>
      </c>
      <c r="AK42" s="270" t="s">
        <v>19</v>
      </c>
      <c r="AL42" s="54" t="s">
        <v>27</v>
      </c>
      <c r="AM42" s="166">
        <f>COUNTIFS(JOURNAL!F:F,"5",JOURNAL!L:L,"60-70",JOURNAL!O:O,"TP")</f>
        <v>0</v>
      </c>
      <c r="AN42" s="270" t="s">
        <v>20</v>
      </c>
      <c r="AO42" s="54" t="s">
        <v>27</v>
      </c>
      <c r="AP42" s="166">
        <f>COUNTIFS(JOURNAL!F:F,"5",JOURNAL!L:L,"70-80",JOURNAL!O:O,"TP")</f>
        <v>0</v>
      </c>
      <c r="AQ42" s="270" t="s">
        <v>21</v>
      </c>
      <c r="AR42" s="54" t="s">
        <v>27</v>
      </c>
      <c r="AS42" s="166">
        <f>COUNTIFS(JOURNAL!F:F,"5",JOURNAL!L:L,"80-90",JOURNAL!O:O,"TP")</f>
        <v>0</v>
      </c>
      <c r="AT42" s="270" t="s">
        <v>59</v>
      </c>
      <c r="AU42" s="54" t="s">
        <v>27</v>
      </c>
      <c r="AV42" s="166">
        <f>COUNTIFS(JOURNAL!F:F,"5",JOURNAL!L:L,"90-100",JOURNAL!O:O,"TP")</f>
        <v>0</v>
      </c>
    </row>
    <row r="43" spans="2:48" ht="15.75" x14ac:dyDescent="0.25">
      <c r="AG43" s="273"/>
      <c r="AH43" s="271"/>
      <c r="AI43" s="55" t="s">
        <v>29</v>
      </c>
      <c r="AJ43" s="166">
        <f>COUNTIFS(JOURNAL!F:F,"5",JOURNAL!L:L,"50-60",JOURNAL!O:O,"SL")</f>
        <v>0</v>
      </c>
      <c r="AK43" s="271"/>
      <c r="AL43" s="55" t="s">
        <v>29</v>
      </c>
      <c r="AM43" s="166">
        <f>COUNTIFS(JOURNAL!F:F,"5",JOURNAL!L:L,"60-70",JOURNAL!O:O,"SL")</f>
        <v>0</v>
      </c>
      <c r="AN43" s="271"/>
      <c r="AO43" s="55" t="s">
        <v>29</v>
      </c>
      <c r="AP43" s="166">
        <f>COUNTIFS(JOURNAL!F:F,"5",JOURNAL!L:L,"70-80",JOURNAL!O:O,"SL")</f>
        <v>0</v>
      </c>
      <c r="AQ43" s="271"/>
      <c r="AR43" s="55" t="s">
        <v>29</v>
      </c>
      <c r="AS43" s="166">
        <f>COUNTIFS(JOURNAL!F:F,"5",JOURNAL!L:L,"80-90",JOURNAL!O:O,"SL")</f>
        <v>0</v>
      </c>
      <c r="AT43" s="271"/>
      <c r="AU43" s="55" t="s">
        <v>29</v>
      </c>
      <c r="AV43" s="166">
        <f>COUNTIFS(JOURNAL!F:F,"5",JOURNAL!L:L,"90-100",JOURNAL!O:O,"SL")</f>
        <v>0</v>
      </c>
    </row>
    <row r="44" spans="2:48" ht="15.75" x14ac:dyDescent="0.25">
      <c r="AG44" s="273"/>
      <c r="AH44" s="271"/>
      <c r="AI44" s="56" t="s">
        <v>32</v>
      </c>
      <c r="AJ44" s="166">
        <f>COUNTIFS(JOURNAL!F:F,"5",JOURNAL!L:L,"50-60",JOURNAL!O:O,"RF")</f>
        <v>0</v>
      </c>
      <c r="AK44" s="271"/>
      <c r="AL44" s="56" t="s">
        <v>32</v>
      </c>
      <c r="AM44" s="166">
        <f>COUNTIFS(JOURNAL!F:F,"5",JOURNAL!L:L,"60-70",JOURNAL!O:O,"RF")</f>
        <v>0</v>
      </c>
      <c r="AN44" s="271"/>
      <c r="AO44" s="56" t="s">
        <v>32</v>
      </c>
      <c r="AP44" s="166">
        <f>COUNTIFS(JOURNAL!F:F,"5",JOURNAL!L:L,"70-80",JOURNAL!O:O,"RF")</f>
        <v>0</v>
      </c>
      <c r="AQ44" s="271"/>
      <c r="AR44" s="56" t="s">
        <v>32</v>
      </c>
      <c r="AS44" s="166">
        <f>COUNTIFS(JOURNAL!F:F,"5",JOURNAL!L:L,"80-90",JOURNAL!O:O,"RF")</f>
        <v>0</v>
      </c>
      <c r="AT44" s="271"/>
      <c r="AU44" s="56" t="s">
        <v>32</v>
      </c>
      <c r="AV44" s="166">
        <f>COUNTIFS(JOURNAL!F:F,"5",JOURNAL!L:L,"90-100",JOURNAL!O:O,"RF")</f>
        <v>0</v>
      </c>
    </row>
    <row r="45" spans="2:48" ht="15.75" x14ac:dyDescent="0.25">
      <c r="AG45" s="273"/>
      <c r="AH45" s="271"/>
      <c r="AI45" s="57" t="s">
        <v>30</v>
      </c>
      <c r="AJ45" s="166">
        <f>COUNTIFS(JOURNAL!F:F,"5",JOURNAL!L:L,"50-60",JOURNAL!O:O,"PS")</f>
        <v>0</v>
      </c>
      <c r="AK45" s="271"/>
      <c r="AL45" s="57" t="s">
        <v>30</v>
      </c>
      <c r="AM45" s="166">
        <f>COUNTIFS(JOURNAL!F:F,"5",JOURNAL!L:L,"60-70",JOURNAL!O:O,"PS")</f>
        <v>0</v>
      </c>
      <c r="AN45" s="271"/>
      <c r="AO45" s="57" t="s">
        <v>30</v>
      </c>
      <c r="AP45" s="166">
        <f>COUNTIFS(JOURNAL!F:F,"5",JOURNAL!L:L,"70-80",JOURNAL!O:O,"PS")</f>
        <v>0</v>
      </c>
      <c r="AQ45" s="271"/>
      <c r="AR45" s="57" t="s">
        <v>30</v>
      </c>
      <c r="AS45" s="166">
        <f>COUNTIFS(JOURNAL!F:F,"5",JOURNAL!L:L,"80-90",JOURNAL!O:O,"PS")</f>
        <v>0</v>
      </c>
      <c r="AT45" s="271"/>
      <c r="AU45" s="57" t="s">
        <v>30</v>
      </c>
      <c r="AV45" s="166">
        <f>COUNTIFS(JOURNAL!F:F,"5",JOURNAL!L:L,"90-100",JOURNAL!O:O,"PS")</f>
        <v>0</v>
      </c>
    </row>
    <row r="46" spans="2:48" ht="15.75" x14ac:dyDescent="0.25">
      <c r="AG46" s="273"/>
      <c r="AH46" s="271"/>
      <c r="AI46" s="58" t="s">
        <v>31</v>
      </c>
      <c r="AJ46" s="166">
        <f>COUNTIFS(JOURNAL!F:F,"5",JOURNAL!L:L,"50-60",JOURNAL!O:O,"LS")</f>
        <v>0</v>
      </c>
      <c r="AK46" s="271"/>
      <c r="AL46" s="58" t="s">
        <v>31</v>
      </c>
      <c r="AM46" s="166">
        <f>COUNTIFS(JOURNAL!F:F,"5",JOURNAL!L:L,"60-70",JOURNAL!O:O,"LS")</f>
        <v>0</v>
      </c>
      <c r="AN46" s="271"/>
      <c r="AO46" s="58" t="s">
        <v>31</v>
      </c>
      <c r="AP46" s="166">
        <f>COUNTIFS(JOURNAL!F:F,"5",JOURNAL!L:L,"70-80",JOURNAL!O:O,"LS")</f>
        <v>0</v>
      </c>
      <c r="AQ46" s="271"/>
      <c r="AR46" s="58" t="s">
        <v>31</v>
      </c>
      <c r="AS46" s="166">
        <f>COUNTIFS(JOURNAL!F:F,"5",JOURNAL!L:L,"80-90",JOURNAL!O:O,"LS")</f>
        <v>0</v>
      </c>
      <c r="AT46" s="271"/>
      <c r="AU46" s="58" t="s">
        <v>31</v>
      </c>
      <c r="AV46" s="166">
        <f>COUNTIFS(JOURNAL!F:F,"5",JOURNAL!L:L,"90-100",JOURNAL!O:O,"LS")</f>
        <v>0</v>
      </c>
    </row>
    <row r="47" spans="2:48" ht="15.75" x14ac:dyDescent="0.25">
      <c r="AG47" s="273"/>
      <c r="AH47" s="271"/>
      <c r="AI47" s="59" t="s">
        <v>33</v>
      </c>
      <c r="AJ47" s="166">
        <f>COUNTIFS(JOURNAL!F:F,"5",JOURNAL!L:L,"50-60",JOURNAL!O:O,"OT +")</f>
        <v>0</v>
      </c>
      <c r="AK47" s="271"/>
      <c r="AL47" s="59" t="s">
        <v>33</v>
      </c>
      <c r="AM47" s="166">
        <f>COUNTIFS(JOURNAL!F:F,"5",JOURNAL!L:L,"60-70",JOURNAL!O:O,"OT +")</f>
        <v>0</v>
      </c>
      <c r="AN47" s="271"/>
      <c r="AO47" s="59" t="s">
        <v>33</v>
      </c>
      <c r="AP47" s="166">
        <f>COUNTIFS(JOURNAL!F:F,"5",JOURNAL!L:L,"70-80",JOURNAL!O:O,"OT +")</f>
        <v>0</v>
      </c>
      <c r="AQ47" s="271"/>
      <c r="AR47" s="59" t="s">
        <v>33</v>
      </c>
      <c r="AS47" s="166">
        <f>COUNTIFS(JOURNAL!F:F,"5",JOURNAL!L:L,"80-90",JOURNAL!O:O,"OT +")</f>
        <v>0</v>
      </c>
      <c r="AT47" s="271"/>
      <c r="AU47" s="59" t="s">
        <v>33</v>
      </c>
      <c r="AV47" s="166">
        <f>COUNTIFS(JOURNAL!F:F,"5",JOURNAL!L:L,"90-100",JOURNAL!O:O,"OT +")</f>
        <v>0</v>
      </c>
    </row>
    <row r="48" spans="2:48" ht="15.75" x14ac:dyDescent="0.25">
      <c r="AG48" s="273"/>
      <c r="AH48" s="271"/>
      <c r="AI48" s="60" t="s">
        <v>34</v>
      </c>
      <c r="AJ48" s="166">
        <f>COUNTIFS(JOURNAL!F:F,"5",JOURNAL!L:L,"50-60",JOURNAL!O:O,"OT -")</f>
        <v>0</v>
      </c>
      <c r="AK48" s="271"/>
      <c r="AL48" s="60" t="s">
        <v>34</v>
      </c>
      <c r="AM48" s="166">
        <f>COUNTIFS(JOURNAL!F:F,"5",JOURNAL!L:L,"60-70",JOURNAL!O:O,"OT -")</f>
        <v>0</v>
      </c>
      <c r="AN48" s="271"/>
      <c r="AO48" s="60" t="s">
        <v>34</v>
      </c>
      <c r="AP48" s="166">
        <f>COUNTIFS(JOURNAL!F:F,"5",JOURNAL!L:L,"70-80",JOURNAL!O:O,"OT -")</f>
        <v>0</v>
      </c>
      <c r="AQ48" s="271"/>
      <c r="AR48" s="60" t="s">
        <v>34</v>
      </c>
      <c r="AS48" s="166">
        <f>COUNTIFS(JOURNAL!F:F,"5",JOURNAL!L:L,"80-90",JOURNAL!O:O,"OT -")</f>
        <v>0</v>
      </c>
      <c r="AT48" s="271"/>
      <c r="AU48" s="60" t="s">
        <v>34</v>
      </c>
      <c r="AV48" s="166">
        <f>COUNTIFS(JOURNAL!F:F,"5",JOURNAL!L:L,"90-100",JOURNAL!O:O,"OT -")</f>
        <v>0</v>
      </c>
    </row>
    <row r="49" spans="33:48" ht="15.75" x14ac:dyDescent="0.25">
      <c r="AG49" s="273"/>
      <c r="AH49" s="271"/>
      <c r="AI49" s="25" t="s">
        <v>115</v>
      </c>
      <c r="AJ49" s="166">
        <f>SUM(AJ42:AJ48)</f>
        <v>0</v>
      </c>
      <c r="AK49" s="271"/>
      <c r="AL49" s="25" t="s">
        <v>115</v>
      </c>
      <c r="AM49" s="166">
        <f>SUM(AM42:AM48)</f>
        <v>0</v>
      </c>
      <c r="AN49" s="271"/>
      <c r="AO49" s="25" t="s">
        <v>115</v>
      </c>
      <c r="AP49" s="166">
        <f>SUM(AP42:AP48)</f>
        <v>0</v>
      </c>
      <c r="AQ49" s="271"/>
      <c r="AR49" s="25" t="s">
        <v>115</v>
      </c>
      <c r="AS49" s="166">
        <f>SUM(AS42:AS48)</f>
        <v>0</v>
      </c>
      <c r="AT49" s="271"/>
      <c r="AU49" s="25" t="s">
        <v>115</v>
      </c>
      <c r="AV49" s="166">
        <f>SUM(AV42:AV48)</f>
        <v>0</v>
      </c>
    </row>
    <row r="50" spans="33:48" ht="15.75" x14ac:dyDescent="0.25">
      <c r="AG50" s="273"/>
      <c r="AH50" s="272"/>
      <c r="AI50" s="29" t="s">
        <v>44</v>
      </c>
      <c r="AJ50" s="164" t="e">
        <f>SUM(AJ42,AJ44,AJ45,AJ47)/AJ49</f>
        <v>#DIV/0!</v>
      </c>
      <c r="AK50" s="272"/>
      <c r="AL50" s="29" t="s">
        <v>44</v>
      </c>
      <c r="AM50" s="164" t="e">
        <f>SUM(AM42,AM44,AM45,AM47)/AM49</f>
        <v>#DIV/0!</v>
      </c>
      <c r="AN50" s="272"/>
      <c r="AO50" s="29" t="s">
        <v>44</v>
      </c>
      <c r="AP50" s="164" t="e">
        <f>SUM(AP42,AP44,AP45,AP47)/AP49</f>
        <v>#DIV/0!</v>
      </c>
      <c r="AQ50" s="272"/>
      <c r="AR50" s="29" t="s">
        <v>44</v>
      </c>
      <c r="AS50" s="164" t="e">
        <f>SUM(AS42,AS44,AS45,AS47)/AS49</f>
        <v>#DIV/0!</v>
      </c>
      <c r="AT50" s="272"/>
      <c r="AU50" s="29" t="s">
        <v>44</v>
      </c>
      <c r="AV50" s="164" t="e">
        <f>SUM(AV42,AV44,AV45,AV47)/AV49</f>
        <v>#DIV/0!</v>
      </c>
    </row>
    <row r="52" spans="33:48" ht="15.75" customHeight="1" x14ac:dyDescent="0.25">
      <c r="AG52" s="273" t="s">
        <v>73</v>
      </c>
      <c r="AH52" s="270" t="s">
        <v>18</v>
      </c>
      <c r="AI52" s="54" t="s">
        <v>27</v>
      </c>
      <c r="AJ52" s="166">
        <f>COUNTIFS(JOURNAL!F:F,"6",JOURNAL!L:L,"50-60",JOURNAL!O:O,"TP")</f>
        <v>0</v>
      </c>
      <c r="AK52" s="270" t="s">
        <v>19</v>
      </c>
      <c r="AL52" s="54" t="s">
        <v>27</v>
      </c>
      <c r="AM52" s="166">
        <f>COUNTIFS(JOURNAL!F:F,"6",JOURNAL!L:L,"60-70",JOURNAL!O:O,"TP")</f>
        <v>0</v>
      </c>
      <c r="AN52" s="270" t="s">
        <v>20</v>
      </c>
      <c r="AO52" s="54" t="s">
        <v>27</v>
      </c>
      <c r="AP52" s="166">
        <f>COUNTIFS(JOURNAL!F:F,"6",JOURNAL!L:L,"70-80",JOURNAL!O:O,"TP")</f>
        <v>0</v>
      </c>
      <c r="AQ52" s="270" t="s">
        <v>21</v>
      </c>
      <c r="AR52" s="54" t="s">
        <v>27</v>
      </c>
      <c r="AS52" s="166">
        <f>COUNTIFS(JOURNAL!F:F,"6",JOURNAL!L:L,"80-90",JOURNAL!O:O,"TP")</f>
        <v>0</v>
      </c>
      <c r="AT52" s="270" t="s">
        <v>59</v>
      </c>
      <c r="AU52" s="54" t="s">
        <v>27</v>
      </c>
      <c r="AV52" s="166">
        <f>COUNTIFS(JOURNAL!F:F,"6",JOURNAL!L:L,"90-100",JOURNAL!O:O,"TP")</f>
        <v>0</v>
      </c>
    </row>
    <row r="53" spans="33:48" ht="15.75" x14ac:dyDescent="0.25">
      <c r="AG53" s="273"/>
      <c r="AH53" s="271"/>
      <c r="AI53" s="55" t="s">
        <v>29</v>
      </c>
      <c r="AJ53" s="166">
        <f>COUNTIFS(JOURNAL!F:F,"6",JOURNAL!L:L,"50-60",JOURNAL!O:O,"SL")</f>
        <v>0</v>
      </c>
      <c r="AK53" s="271"/>
      <c r="AL53" s="55" t="s">
        <v>29</v>
      </c>
      <c r="AM53" s="166">
        <f>COUNTIFS(JOURNAL!F:F,"6",JOURNAL!L:L,"60-70",JOURNAL!O:O,"SL")</f>
        <v>0</v>
      </c>
      <c r="AN53" s="271"/>
      <c r="AO53" s="55" t="s">
        <v>29</v>
      </c>
      <c r="AP53" s="166">
        <f>COUNTIFS(JOURNAL!F:F,"6",JOURNAL!L:L,"70-80",JOURNAL!O:O,"SL")</f>
        <v>0</v>
      </c>
      <c r="AQ53" s="271"/>
      <c r="AR53" s="55" t="s">
        <v>29</v>
      </c>
      <c r="AS53" s="166">
        <f>COUNTIFS(JOURNAL!F:F,"6",JOURNAL!L:L,"80-90",JOURNAL!O:O,"SL")</f>
        <v>0</v>
      </c>
      <c r="AT53" s="271"/>
      <c r="AU53" s="55" t="s">
        <v>29</v>
      </c>
      <c r="AV53" s="166">
        <f>COUNTIFS(JOURNAL!F:F,"6",JOURNAL!L:L,"90-100",JOURNAL!O:O,"SL")</f>
        <v>0</v>
      </c>
    </row>
    <row r="54" spans="33:48" ht="15.75" x14ac:dyDescent="0.25">
      <c r="AG54" s="273"/>
      <c r="AH54" s="271"/>
      <c r="AI54" s="56" t="s">
        <v>32</v>
      </c>
      <c r="AJ54" s="166">
        <f>COUNTIFS(JOURNAL!F:F,"6",JOURNAL!L:L,"50-60",JOURNAL!O:O,"RF")</f>
        <v>0</v>
      </c>
      <c r="AK54" s="271"/>
      <c r="AL54" s="56" t="s">
        <v>32</v>
      </c>
      <c r="AM54" s="166">
        <f>COUNTIFS(JOURNAL!F:F,"6",JOURNAL!L:L,"60-70",JOURNAL!O:O,"RF")</f>
        <v>0</v>
      </c>
      <c r="AN54" s="271"/>
      <c r="AO54" s="56" t="s">
        <v>32</v>
      </c>
      <c r="AP54" s="166">
        <f>COUNTIFS(JOURNAL!F:F,"6",JOURNAL!L:L,"70-80",JOURNAL!O:O,"RF")</f>
        <v>0</v>
      </c>
      <c r="AQ54" s="271"/>
      <c r="AR54" s="56" t="s">
        <v>32</v>
      </c>
      <c r="AS54" s="166">
        <f>COUNTIFS(JOURNAL!F:F,"6",JOURNAL!L:L,"80-90",JOURNAL!O:O,"RF")</f>
        <v>0</v>
      </c>
      <c r="AT54" s="271"/>
      <c r="AU54" s="56" t="s">
        <v>32</v>
      </c>
      <c r="AV54" s="166">
        <f>COUNTIFS(JOURNAL!F:F,"6",JOURNAL!L:L,"90-100",JOURNAL!O:O,"RF")</f>
        <v>0</v>
      </c>
    </row>
    <row r="55" spans="33:48" ht="15.75" x14ac:dyDescent="0.25">
      <c r="AG55" s="273"/>
      <c r="AH55" s="271"/>
      <c r="AI55" s="57" t="s">
        <v>30</v>
      </c>
      <c r="AJ55" s="166">
        <f>COUNTIFS(JOURNAL!F:F,"6",JOURNAL!L:L,"50-60",JOURNAL!O:O,"PS")</f>
        <v>0</v>
      </c>
      <c r="AK55" s="271"/>
      <c r="AL55" s="57" t="s">
        <v>30</v>
      </c>
      <c r="AM55" s="166">
        <f>COUNTIFS(JOURNAL!F:F,"6",JOURNAL!L:L,"60-70",JOURNAL!O:O,"PS")</f>
        <v>0</v>
      </c>
      <c r="AN55" s="271"/>
      <c r="AO55" s="57" t="s">
        <v>30</v>
      </c>
      <c r="AP55" s="166">
        <f>COUNTIFS(JOURNAL!F:F,"6",JOURNAL!L:L,"70-80",JOURNAL!O:O,"PS")</f>
        <v>0</v>
      </c>
      <c r="AQ55" s="271"/>
      <c r="AR55" s="57" t="s">
        <v>30</v>
      </c>
      <c r="AS55" s="166">
        <f>COUNTIFS(JOURNAL!F:F,"6",JOURNAL!L:L,"80-90",JOURNAL!O:O,"PS")</f>
        <v>0</v>
      </c>
      <c r="AT55" s="271"/>
      <c r="AU55" s="57" t="s">
        <v>30</v>
      </c>
      <c r="AV55" s="166">
        <f>COUNTIFS(JOURNAL!F:F,"6",JOURNAL!L:L,"90-100",JOURNAL!O:O,"PS")</f>
        <v>0</v>
      </c>
    </row>
    <row r="56" spans="33:48" ht="15.75" x14ac:dyDescent="0.25">
      <c r="AG56" s="273"/>
      <c r="AH56" s="271"/>
      <c r="AI56" s="58" t="s">
        <v>31</v>
      </c>
      <c r="AJ56" s="166">
        <f>COUNTIFS(JOURNAL!F:F,"6",JOURNAL!L:L,"50-60",JOURNAL!O:O,"LS")</f>
        <v>0</v>
      </c>
      <c r="AK56" s="271"/>
      <c r="AL56" s="58" t="s">
        <v>31</v>
      </c>
      <c r="AM56" s="166">
        <f>COUNTIFS(JOURNAL!F:F,"6",JOURNAL!L:L,"60-70",JOURNAL!O:O,"LS")</f>
        <v>0</v>
      </c>
      <c r="AN56" s="271"/>
      <c r="AO56" s="58" t="s">
        <v>31</v>
      </c>
      <c r="AP56" s="166">
        <f>COUNTIFS(JOURNAL!F:F,"6",JOURNAL!L:L,"70-80",JOURNAL!O:O,"LS")</f>
        <v>0</v>
      </c>
      <c r="AQ56" s="271"/>
      <c r="AR56" s="58" t="s">
        <v>31</v>
      </c>
      <c r="AS56" s="166">
        <f>COUNTIFS(JOURNAL!F:F,"6",JOURNAL!L:L,"80-90",JOURNAL!O:O,"LS")</f>
        <v>0</v>
      </c>
      <c r="AT56" s="271"/>
      <c r="AU56" s="58" t="s">
        <v>31</v>
      </c>
      <c r="AV56" s="166">
        <f>COUNTIFS(JOURNAL!F:F,"6",JOURNAL!L:L,"90-100",JOURNAL!O:O,"LS")</f>
        <v>0</v>
      </c>
    </row>
    <row r="57" spans="33:48" ht="15.75" x14ac:dyDescent="0.25">
      <c r="AG57" s="273"/>
      <c r="AH57" s="271"/>
      <c r="AI57" s="59" t="s">
        <v>33</v>
      </c>
      <c r="AJ57" s="166">
        <f>COUNTIFS(JOURNAL!F:F,"6",JOURNAL!L:L,"50-60",JOURNAL!O:O,"OT +")</f>
        <v>0</v>
      </c>
      <c r="AK57" s="271"/>
      <c r="AL57" s="59" t="s">
        <v>33</v>
      </c>
      <c r="AM57" s="166">
        <f>COUNTIFS(JOURNAL!F:F,"6",JOURNAL!L:L,"60-70",JOURNAL!O:O,"OT +")</f>
        <v>0</v>
      </c>
      <c r="AN57" s="271"/>
      <c r="AO57" s="59" t="s">
        <v>33</v>
      </c>
      <c r="AP57" s="166">
        <f>COUNTIFS(JOURNAL!F:F,"6",JOURNAL!L:L,"70-80",JOURNAL!O:O,"OT +")</f>
        <v>0</v>
      </c>
      <c r="AQ57" s="271"/>
      <c r="AR57" s="59" t="s">
        <v>33</v>
      </c>
      <c r="AS57" s="166">
        <f>COUNTIFS(JOURNAL!F:F,"6",JOURNAL!L:L,"80-90",JOURNAL!O:O,"OT +")</f>
        <v>0</v>
      </c>
      <c r="AT57" s="271"/>
      <c r="AU57" s="59" t="s">
        <v>33</v>
      </c>
      <c r="AV57" s="166">
        <f>COUNTIFS(JOURNAL!F:F,"6",JOURNAL!L:L,"90-100",JOURNAL!O:O,"OT +")</f>
        <v>0</v>
      </c>
    </row>
    <row r="58" spans="33:48" ht="15.75" x14ac:dyDescent="0.25">
      <c r="AG58" s="273"/>
      <c r="AH58" s="271"/>
      <c r="AI58" s="60" t="s">
        <v>34</v>
      </c>
      <c r="AJ58" s="166">
        <f>COUNTIFS(JOURNAL!F:F,"6",JOURNAL!L:L,"50-60",JOURNAL!O:O,"OT -")</f>
        <v>0</v>
      </c>
      <c r="AK58" s="271"/>
      <c r="AL58" s="60" t="s">
        <v>34</v>
      </c>
      <c r="AM58" s="166">
        <f>COUNTIFS(JOURNAL!F:F,"6",JOURNAL!L:L,"60-70",JOURNAL!O:O,"OT -")</f>
        <v>0</v>
      </c>
      <c r="AN58" s="271"/>
      <c r="AO58" s="60" t="s">
        <v>34</v>
      </c>
      <c r="AP58" s="166">
        <f>COUNTIFS(JOURNAL!F:F,"6",JOURNAL!L:L,"70-80",JOURNAL!O:O,"OT -")</f>
        <v>0</v>
      </c>
      <c r="AQ58" s="271"/>
      <c r="AR58" s="60" t="s">
        <v>34</v>
      </c>
      <c r="AS58" s="166">
        <f>COUNTIFS(JOURNAL!F:F,"6",JOURNAL!L:L,"80-90",JOURNAL!O:O,"OT -")</f>
        <v>0</v>
      </c>
      <c r="AT58" s="271"/>
      <c r="AU58" s="60" t="s">
        <v>34</v>
      </c>
      <c r="AV58" s="166">
        <f>COUNTIFS(JOURNAL!F:F,"6",JOURNAL!L:L,"90-100",JOURNAL!O:O,"OT -")</f>
        <v>0</v>
      </c>
    </row>
    <row r="59" spans="33:48" ht="15.75" x14ac:dyDescent="0.25">
      <c r="AG59" s="273"/>
      <c r="AH59" s="271"/>
      <c r="AI59" s="25" t="s">
        <v>115</v>
      </c>
      <c r="AJ59" s="166">
        <f>SUM(AJ52:AJ58)</f>
        <v>0</v>
      </c>
      <c r="AK59" s="271"/>
      <c r="AL59" s="25" t="s">
        <v>115</v>
      </c>
      <c r="AM59" s="166">
        <f>SUM(AM52:AM58)</f>
        <v>0</v>
      </c>
      <c r="AN59" s="271"/>
      <c r="AO59" s="25" t="s">
        <v>115</v>
      </c>
      <c r="AP59" s="166">
        <f>SUM(AP52:AP58)</f>
        <v>0</v>
      </c>
      <c r="AQ59" s="271"/>
      <c r="AR59" s="25" t="s">
        <v>115</v>
      </c>
      <c r="AS59" s="166">
        <f>SUM(AS52:AS58)</f>
        <v>0</v>
      </c>
      <c r="AT59" s="271"/>
      <c r="AU59" s="25" t="s">
        <v>115</v>
      </c>
      <c r="AV59" s="166">
        <f>SUM(AV52:AV58)</f>
        <v>0</v>
      </c>
    </row>
    <row r="60" spans="33:48" ht="15.75" x14ac:dyDescent="0.25">
      <c r="AG60" s="273"/>
      <c r="AH60" s="272"/>
      <c r="AI60" s="29" t="s">
        <v>44</v>
      </c>
      <c r="AJ60" s="164" t="e">
        <f>SUM(AJ52,AJ54,AJ55,AJ57)/AJ59</f>
        <v>#DIV/0!</v>
      </c>
      <c r="AK60" s="272"/>
      <c r="AL60" s="29" t="s">
        <v>44</v>
      </c>
      <c r="AM60" s="164" t="e">
        <f>SUM(AM52,AM54,AM55,AM57)/AM59</f>
        <v>#DIV/0!</v>
      </c>
      <c r="AN60" s="272"/>
      <c r="AO60" s="29" t="s">
        <v>44</v>
      </c>
      <c r="AP60" s="164" t="e">
        <f>SUM(AP52,AP54,AP55,AP57)/AP59</f>
        <v>#DIV/0!</v>
      </c>
      <c r="AQ60" s="272"/>
      <c r="AR60" s="29" t="s">
        <v>44</v>
      </c>
      <c r="AS60" s="164" t="e">
        <f>SUM(AS52,AS54,AS55,AS57)/AS59</f>
        <v>#DIV/0!</v>
      </c>
      <c r="AT60" s="272"/>
      <c r="AU60" s="29" t="s">
        <v>44</v>
      </c>
      <c r="AV60" s="164" t="e">
        <f>SUM(AV52,AV54,AV55,AV57)/AV59</f>
        <v>#DIV/0!</v>
      </c>
    </row>
    <row r="62" spans="33:48" ht="15.75" customHeight="1" x14ac:dyDescent="0.25">
      <c r="AG62" s="273" t="s">
        <v>74</v>
      </c>
      <c r="AH62" s="270" t="s">
        <v>18</v>
      </c>
      <c r="AI62" s="54" t="s">
        <v>27</v>
      </c>
      <c r="AJ62" s="166">
        <f>COUNTIFS(JOURNAL!F:F,"7",JOURNAL!L:L,"50-60",JOURNAL!O:O,"TP")</f>
        <v>0</v>
      </c>
      <c r="AK62" s="270" t="s">
        <v>19</v>
      </c>
      <c r="AL62" s="54" t="s">
        <v>27</v>
      </c>
      <c r="AM62" s="166">
        <f>COUNTIFS(JOURNAL!F:F,"7",JOURNAL!L:L,"60-70",JOURNAL!O:O,"TP")</f>
        <v>0</v>
      </c>
      <c r="AN62" s="270" t="s">
        <v>20</v>
      </c>
      <c r="AO62" s="54" t="s">
        <v>27</v>
      </c>
      <c r="AP62" s="166">
        <f>COUNTIFS(JOURNAL!F:F,"7",JOURNAL!L:L,"70-80",JOURNAL!O:O,"TP")</f>
        <v>0</v>
      </c>
      <c r="AQ62" s="270" t="s">
        <v>21</v>
      </c>
      <c r="AR62" s="54" t="s">
        <v>27</v>
      </c>
      <c r="AS62" s="166">
        <f>COUNTIFS(JOURNAL!F:F,"7",JOURNAL!L:L,"80-90",JOURNAL!O:O,"TP")</f>
        <v>0</v>
      </c>
      <c r="AT62" s="270" t="s">
        <v>59</v>
      </c>
      <c r="AU62" s="54" t="s">
        <v>27</v>
      </c>
      <c r="AV62" s="166">
        <f>COUNTIFS(JOURNAL!F:F,"7",JOURNAL!L:L,"90-100",JOURNAL!O:O,"TP")</f>
        <v>0</v>
      </c>
    </row>
    <row r="63" spans="33:48" ht="15.75" x14ac:dyDescent="0.25">
      <c r="AG63" s="273"/>
      <c r="AH63" s="271"/>
      <c r="AI63" s="55" t="s">
        <v>29</v>
      </c>
      <c r="AJ63" s="166">
        <f>COUNTIFS(JOURNAL!F:F,"7",JOURNAL!L:L,"50-60",JOURNAL!O:O,"SL")</f>
        <v>0</v>
      </c>
      <c r="AK63" s="271"/>
      <c r="AL63" s="55" t="s">
        <v>29</v>
      </c>
      <c r="AM63" s="166">
        <f>COUNTIFS(JOURNAL!F:F,"7",JOURNAL!L:L,"60-70",JOURNAL!O:O,"SL")</f>
        <v>0</v>
      </c>
      <c r="AN63" s="271"/>
      <c r="AO63" s="55" t="s">
        <v>29</v>
      </c>
      <c r="AP63" s="166">
        <f>COUNTIFS(JOURNAL!F:F,"7",JOURNAL!L:L,"70-80",JOURNAL!O:O,"SL")</f>
        <v>0</v>
      </c>
      <c r="AQ63" s="271"/>
      <c r="AR63" s="55" t="s">
        <v>29</v>
      </c>
      <c r="AS63" s="166">
        <f>COUNTIFS(JOURNAL!F:F,"7",JOURNAL!L:L,"80-90",JOURNAL!O:O,"SL")</f>
        <v>0</v>
      </c>
      <c r="AT63" s="271"/>
      <c r="AU63" s="55" t="s">
        <v>29</v>
      </c>
      <c r="AV63" s="166">
        <f>COUNTIFS(JOURNAL!F:F,"7",JOURNAL!L:L,"90-100",JOURNAL!O:O,"SL")</f>
        <v>0</v>
      </c>
    </row>
    <row r="64" spans="33:48" ht="15.75" x14ac:dyDescent="0.25">
      <c r="AG64" s="273"/>
      <c r="AH64" s="271"/>
      <c r="AI64" s="56" t="s">
        <v>32</v>
      </c>
      <c r="AJ64" s="166">
        <f>COUNTIFS(JOURNAL!F:F,"7",JOURNAL!L:L,"50-60",JOURNAL!O:O,"RF")</f>
        <v>0</v>
      </c>
      <c r="AK64" s="271"/>
      <c r="AL64" s="56" t="s">
        <v>32</v>
      </c>
      <c r="AM64" s="166">
        <f>COUNTIFS(JOURNAL!F:F,"7",JOURNAL!L:L,"60-70",JOURNAL!O:O,"RF")</f>
        <v>0</v>
      </c>
      <c r="AN64" s="271"/>
      <c r="AO64" s="56" t="s">
        <v>32</v>
      </c>
      <c r="AP64" s="166">
        <f>COUNTIFS(JOURNAL!F:F,"7",JOURNAL!L:L,"70-80",JOURNAL!O:O,"RF")</f>
        <v>0</v>
      </c>
      <c r="AQ64" s="271"/>
      <c r="AR64" s="56" t="s">
        <v>32</v>
      </c>
      <c r="AS64" s="166">
        <f>COUNTIFS(JOURNAL!F:F,"7",JOURNAL!L:L,"80-90",JOURNAL!O:O,"RF")</f>
        <v>0</v>
      </c>
      <c r="AT64" s="271"/>
      <c r="AU64" s="56" t="s">
        <v>32</v>
      </c>
      <c r="AV64" s="166">
        <f>COUNTIFS(JOURNAL!F:F,"7",JOURNAL!L:L,"90-100",JOURNAL!O:O,"RF")</f>
        <v>0</v>
      </c>
    </row>
    <row r="65" spans="33:48" ht="15.75" x14ac:dyDescent="0.25">
      <c r="AG65" s="273"/>
      <c r="AH65" s="271"/>
      <c r="AI65" s="57" t="s">
        <v>30</v>
      </c>
      <c r="AJ65" s="166">
        <f>COUNTIFS(JOURNAL!F:F,"7",JOURNAL!L:L,"50-60",JOURNAL!O:O,"PS")</f>
        <v>0</v>
      </c>
      <c r="AK65" s="271"/>
      <c r="AL65" s="57" t="s">
        <v>30</v>
      </c>
      <c r="AM65" s="166">
        <f>COUNTIFS(JOURNAL!F:F,"7",JOURNAL!L:L,"60-70",JOURNAL!O:O,"PS")</f>
        <v>0</v>
      </c>
      <c r="AN65" s="271"/>
      <c r="AO65" s="57" t="s">
        <v>30</v>
      </c>
      <c r="AP65" s="166">
        <f>COUNTIFS(JOURNAL!F:F,"7",JOURNAL!L:L,"70-80",JOURNAL!O:O,"PS")</f>
        <v>0</v>
      </c>
      <c r="AQ65" s="271"/>
      <c r="AR65" s="57" t="s">
        <v>30</v>
      </c>
      <c r="AS65" s="166">
        <f>COUNTIFS(JOURNAL!F:F,"7",JOURNAL!L:L,"80-90",JOURNAL!O:O,"PS")</f>
        <v>0</v>
      </c>
      <c r="AT65" s="271"/>
      <c r="AU65" s="57" t="s">
        <v>30</v>
      </c>
      <c r="AV65" s="166">
        <f>COUNTIFS(JOURNAL!F:F,"7",JOURNAL!L:L,"90-100",JOURNAL!O:O,"PS")</f>
        <v>0</v>
      </c>
    </row>
    <row r="66" spans="33:48" ht="15.75" x14ac:dyDescent="0.25">
      <c r="AG66" s="273"/>
      <c r="AH66" s="271"/>
      <c r="AI66" s="58" t="s">
        <v>31</v>
      </c>
      <c r="AJ66" s="166">
        <f>COUNTIFS(JOURNAL!F:F,"7",JOURNAL!L:L,"50-60",JOURNAL!O:O,"LS")</f>
        <v>0</v>
      </c>
      <c r="AK66" s="271"/>
      <c r="AL66" s="58" t="s">
        <v>31</v>
      </c>
      <c r="AM66" s="166">
        <f>COUNTIFS(JOURNAL!F:F,"7",JOURNAL!L:L,"60-70",JOURNAL!O:O,"LS")</f>
        <v>0</v>
      </c>
      <c r="AN66" s="271"/>
      <c r="AO66" s="58" t="s">
        <v>31</v>
      </c>
      <c r="AP66" s="166">
        <f>COUNTIFS(JOURNAL!F:F,"7",JOURNAL!L:L,"70-80",JOURNAL!O:O,"LS")</f>
        <v>0</v>
      </c>
      <c r="AQ66" s="271"/>
      <c r="AR66" s="58" t="s">
        <v>31</v>
      </c>
      <c r="AS66" s="166">
        <f>COUNTIFS(JOURNAL!F:F,"7",JOURNAL!L:L,"80-90",JOURNAL!O:O,"LS")</f>
        <v>0</v>
      </c>
      <c r="AT66" s="271"/>
      <c r="AU66" s="58" t="s">
        <v>31</v>
      </c>
      <c r="AV66" s="166">
        <f>COUNTIFS(JOURNAL!F:F,"7",JOURNAL!L:L,"90-100",JOURNAL!O:O,"LS")</f>
        <v>0</v>
      </c>
    </row>
    <row r="67" spans="33:48" ht="15.75" x14ac:dyDescent="0.25">
      <c r="AG67" s="273"/>
      <c r="AH67" s="271"/>
      <c r="AI67" s="59" t="s">
        <v>33</v>
      </c>
      <c r="AJ67" s="166">
        <f>COUNTIFS(JOURNAL!F:F,"7",JOURNAL!L:L,"50-60",JOURNAL!O:O,"OT +")</f>
        <v>0</v>
      </c>
      <c r="AK67" s="271"/>
      <c r="AL67" s="59" t="s">
        <v>33</v>
      </c>
      <c r="AM67" s="166">
        <f>COUNTIFS(JOURNAL!F:F,"7",JOURNAL!L:L,"60-70",JOURNAL!O:O,"OT +")</f>
        <v>0</v>
      </c>
      <c r="AN67" s="271"/>
      <c r="AO67" s="59" t="s">
        <v>33</v>
      </c>
      <c r="AP67" s="166">
        <f>COUNTIFS(JOURNAL!F:F,"7",JOURNAL!L:L,"70-80",JOURNAL!O:O,"OT +")</f>
        <v>0</v>
      </c>
      <c r="AQ67" s="271"/>
      <c r="AR67" s="59" t="s">
        <v>33</v>
      </c>
      <c r="AS67" s="166">
        <f>COUNTIFS(JOURNAL!F:F,"7",JOURNAL!L:L,"80-90",JOURNAL!O:O,"OT +")</f>
        <v>0</v>
      </c>
      <c r="AT67" s="271"/>
      <c r="AU67" s="59" t="s">
        <v>33</v>
      </c>
      <c r="AV67" s="166">
        <f>COUNTIFS(JOURNAL!F:F,"7",JOURNAL!L:L,"90-100",JOURNAL!O:O,"OT +")</f>
        <v>0</v>
      </c>
    </row>
    <row r="68" spans="33:48" ht="15.75" x14ac:dyDescent="0.25">
      <c r="AG68" s="273"/>
      <c r="AH68" s="271"/>
      <c r="AI68" s="60" t="s">
        <v>34</v>
      </c>
      <c r="AJ68" s="166">
        <f>COUNTIFS(JOURNAL!F:F,"7",JOURNAL!L:L,"50-60",JOURNAL!O:O,"OT -")</f>
        <v>0</v>
      </c>
      <c r="AK68" s="271"/>
      <c r="AL68" s="60" t="s">
        <v>34</v>
      </c>
      <c r="AM68" s="166">
        <f>COUNTIFS(JOURNAL!F:F,"7",JOURNAL!L:L,"60-70",JOURNAL!O:O,"OT -")</f>
        <v>0</v>
      </c>
      <c r="AN68" s="271"/>
      <c r="AO68" s="60" t="s">
        <v>34</v>
      </c>
      <c r="AP68" s="166">
        <f>COUNTIFS(JOURNAL!F:F,"7",JOURNAL!L:L,"70-80",JOURNAL!O:O,"OT -")</f>
        <v>0</v>
      </c>
      <c r="AQ68" s="271"/>
      <c r="AR68" s="60" t="s">
        <v>34</v>
      </c>
      <c r="AS68" s="166">
        <f>COUNTIFS(JOURNAL!F:F,"7",JOURNAL!L:L,"80-90",JOURNAL!O:O,"OT -")</f>
        <v>0</v>
      </c>
      <c r="AT68" s="271"/>
      <c r="AU68" s="60" t="s">
        <v>34</v>
      </c>
      <c r="AV68" s="166">
        <f>COUNTIFS(JOURNAL!F:F,"7",JOURNAL!L:L,"90-100",JOURNAL!O:O,"OT -")</f>
        <v>0</v>
      </c>
    </row>
    <row r="69" spans="33:48" ht="15.75" x14ac:dyDescent="0.25">
      <c r="AG69" s="273"/>
      <c r="AH69" s="271"/>
      <c r="AI69" s="25" t="s">
        <v>115</v>
      </c>
      <c r="AJ69" s="166">
        <f>SUM(AJ62:AJ68)</f>
        <v>0</v>
      </c>
      <c r="AK69" s="271"/>
      <c r="AL69" s="25" t="s">
        <v>115</v>
      </c>
      <c r="AM69" s="166">
        <f>SUM(AM62:AM68)</f>
        <v>0</v>
      </c>
      <c r="AN69" s="271"/>
      <c r="AO69" s="25" t="s">
        <v>115</v>
      </c>
      <c r="AP69" s="166">
        <f>SUM(AP62:AP68)</f>
        <v>0</v>
      </c>
      <c r="AQ69" s="271"/>
      <c r="AR69" s="25" t="s">
        <v>115</v>
      </c>
      <c r="AS69" s="166">
        <f>SUM(AS62:AS68)</f>
        <v>0</v>
      </c>
      <c r="AT69" s="271"/>
      <c r="AU69" s="25" t="s">
        <v>115</v>
      </c>
      <c r="AV69" s="166">
        <f>SUM(AV62:AV68)</f>
        <v>0</v>
      </c>
    </row>
    <row r="70" spans="33:48" ht="15.75" x14ac:dyDescent="0.25">
      <c r="AG70" s="273"/>
      <c r="AH70" s="272"/>
      <c r="AI70" s="29" t="s">
        <v>44</v>
      </c>
      <c r="AJ70" s="164" t="e">
        <f>SUM(AJ62,AJ64,AJ65,AJ67)/AJ69</f>
        <v>#DIV/0!</v>
      </c>
      <c r="AK70" s="272"/>
      <c r="AL70" s="29" t="s">
        <v>44</v>
      </c>
      <c r="AM70" s="164" t="e">
        <f>SUM(AM62,AM64,AM65,AM67)/AM69</f>
        <v>#DIV/0!</v>
      </c>
      <c r="AN70" s="272"/>
      <c r="AO70" s="29" t="s">
        <v>44</v>
      </c>
      <c r="AP70" s="164" t="e">
        <f>SUM(AP62,AP64,AP65,AP67)/AP69</f>
        <v>#DIV/0!</v>
      </c>
      <c r="AQ70" s="272"/>
      <c r="AR70" s="29" t="s">
        <v>44</v>
      </c>
      <c r="AS70" s="164" t="e">
        <f>SUM(AS62,AS64,AS65,AS67)/AS69</f>
        <v>#DIV/0!</v>
      </c>
      <c r="AT70" s="272"/>
      <c r="AU70" s="29" t="s">
        <v>44</v>
      </c>
      <c r="AV70" s="164" t="e">
        <f>SUM(AV62,AV64,AV65,AV67)/AV69</f>
        <v>#DIV/0!</v>
      </c>
    </row>
    <row r="72" spans="33:48" ht="15.75" customHeight="1" x14ac:dyDescent="0.25">
      <c r="AG72" s="273" t="s">
        <v>75</v>
      </c>
      <c r="AH72" s="270" t="s">
        <v>18</v>
      </c>
      <c r="AI72" s="54" t="s">
        <v>27</v>
      </c>
      <c r="AJ72" s="166">
        <f>COUNTIFS(JOURNAL!F:F,"8",JOURNAL!L:L,"50-60",JOURNAL!O:O,"TP")</f>
        <v>0</v>
      </c>
      <c r="AK72" s="270" t="s">
        <v>19</v>
      </c>
      <c r="AL72" s="54" t="s">
        <v>27</v>
      </c>
      <c r="AM72" s="166">
        <f>COUNTIFS(JOURNAL!F:F,"8",JOURNAL!L:L,"60-70",JOURNAL!O:O,"TP")</f>
        <v>0</v>
      </c>
      <c r="AN72" s="270" t="s">
        <v>20</v>
      </c>
      <c r="AO72" s="54" t="s">
        <v>27</v>
      </c>
      <c r="AP72" s="166">
        <f>COUNTIFS(JOURNAL!F:F,"8",JOURNAL!L:L,"70-80",JOURNAL!O:O,"TP")</f>
        <v>0</v>
      </c>
      <c r="AQ72" s="270" t="s">
        <v>21</v>
      </c>
      <c r="AR72" s="54" t="s">
        <v>27</v>
      </c>
      <c r="AS72" s="166">
        <f>COUNTIFS(JOURNAL!F:F,"8",JOURNAL!L:L,"80-90",JOURNAL!O:O,"TP")</f>
        <v>0</v>
      </c>
      <c r="AT72" s="270" t="s">
        <v>59</v>
      </c>
      <c r="AU72" s="54" t="s">
        <v>27</v>
      </c>
      <c r="AV72" s="166">
        <f>COUNTIFS(JOURNAL!F:F,"8",JOURNAL!L:L,"90-100",JOURNAL!O:O,"TP")</f>
        <v>0</v>
      </c>
    </row>
    <row r="73" spans="33:48" ht="15.75" x14ac:dyDescent="0.25">
      <c r="AG73" s="273"/>
      <c r="AH73" s="271"/>
      <c r="AI73" s="55" t="s">
        <v>29</v>
      </c>
      <c r="AJ73" s="166">
        <f>COUNTIFS(JOURNAL!F:F,"8",JOURNAL!L:L,"50-60",JOURNAL!O:O,"SL")</f>
        <v>0</v>
      </c>
      <c r="AK73" s="271"/>
      <c r="AL73" s="55" t="s">
        <v>29</v>
      </c>
      <c r="AM73" s="166">
        <f>COUNTIFS(JOURNAL!F:F,"8",JOURNAL!L:L,"60-70",JOURNAL!O:O,"SL")</f>
        <v>0</v>
      </c>
      <c r="AN73" s="271"/>
      <c r="AO73" s="55" t="s">
        <v>29</v>
      </c>
      <c r="AP73" s="166">
        <f>COUNTIFS(JOURNAL!F:F,"8",JOURNAL!L:L,"70-80",JOURNAL!O:O,"SL")</f>
        <v>0</v>
      </c>
      <c r="AQ73" s="271"/>
      <c r="AR73" s="55" t="s">
        <v>29</v>
      </c>
      <c r="AS73" s="166">
        <f>COUNTIFS(JOURNAL!F:F,"8",JOURNAL!L:L,"80-90",JOURNAL!O:O,"SL")</f>
        <v>0</v>
      </c>
      <c r="AT73" s="271"/>
      <c r="AU73" s="55" t="s">
        <v>29</v>
      </c>
      <c r="AV73" s="166">
        <f>COUNTIFS(JOURNAL!F:F,"8",JOURNAL!L:L,"90-100",JOURNAL!O:O,"SL")</f>
        <v>0</v>
      </c>
    </row>
    <row r="74" spans="33:48" ht="15.75" x14ac:dyDescent="0.25">
      <c r="AG74" s="273"/>
      <c r="AH74" s="271"/>
      <c r="AI74" s="56" t="s">
        <v>32</v>
      </c>
      <c r="AJ74" s="166">
        <f>COUNTIFS(JOURNAL!F:F,"8",JOURNAL!L:L,"50-60",JOURNAL!O:O,"RF")</f>
        <v>0</v>
      </c>
      <c r="AK74" s="271"/>
      <c r="AL74" s="56" t="s">
        <v>32</v>
      </c>
      <c r="AM74" s="166">
        <f>COUNTIFS(JOURNAL!F:F,"8",JOURNAL!L:L,"60-70",JOURNAL!O:O,"RF")</f>
        <v>0</v>
      </c>
      <c r="AN74" s="271"/>
      <c r="AO74" s="56" t="s">
        <v>32</v>
      </c>
      <c r="AP74" s="166">
        <f>COUNTIFS(JOURNAL!F:F,"8",JOURNAL!L:L,"70-80",JOURNAL!O:O,"RF")</f>
        <v>0</v>
      </c>
      <c r="AQ74" s="271"/>
      <c r="AR74" s="56" t="s">
        <v>32</v>
      </c>
      <c r="AS74" s="166">
        <f>COUNTIFS(JOURNAL!F:F,"8",JOURNAL!L:L,"80-90",JOURNAL!O:O,"RF")</f>
        <v>0</v>
      </c>
      <c r="AT74" s="271"/>
      <c r="AU74" s="56" t="s">
        <v>32</v>
      </c>
      <c r="AV74" s="166">
        <f>COUNTIFS(JOURNAL!F:F,"8",JOURNAL!L:L,"90-100",JOURNAL!O:O,"RF")</f>
        <v>0</v>
      </c>
    </row>
    <row r="75" spans="33:48" ht="15.75" x14ac:dyDescent="0.25">
      <c r="AG75" s="273"/>
      <c r="AH75" s="271"/>
      <c r="AI75" s="57" t="s">
        <v>30</v>
      </c>
      <c r="AJ75" s="166">
        <f>COUNTIFS(JOURNAL!F:F,"8",JOURNAL!L:L,"50-60",JOURNAL!O:O,"PS")</f>
        <v>0</v>
      </c>
      <c r="AK75" s="271"/>
      <c r="AL75" s="57" t="s">
        <v>30</v>
      </c>
      <c r="AM75" s="166">
        <f>COUNTIFS(JOURNAL!F:F,"8",JOURNAL!L:L,"60-70",JOURNAL!O:O,"PS")</f>
        <v>0</v>
      </c>
      <c r="AN75" s="271"/>
      <c r="AO75" s="57" t="s">
        <v>30</v>
      </c>
      <c r="AP75" s="166">
        <f>COUNTIFS(JOURNAL!F:F,"8",JOURNAL!L:L,"70-80",JOURNAL!O:O,"PS")</f>
        <v>0</v>
      </c>
      <c r="AQ75" s="271"/>
      <c r="AR75" s="57" t="s">
        <v>30</v>
      </c>
      <c r="AS75" s="166">
        <f>COUNTIFS(JOURNAL!F:F,"8",JOURNAL!L:L,"80-90",JOURNAL!O:O,"PS")</f>
        <v>0</v>
      </c>
      <c r="AT75" s="271"/>
      <c r="AU75" s="57" t="s">
        <v>30</v>
      </c>
      <c r="AV75" s="166">
        <f>COUNTIFS(JOURNAL!F:F,"8",JOURNAL!L:L,"90-100",JOURNAL!O:O,"PS")</f>
        <v>0</v>
      </c>
    </row>
    <row r="76" spans="33:48" ht="15.75" x14ac:dyDescent="0.25">
      <c r="AG76" s="273"/>
      <c r="AH76" s="271"/>
      <c r="AI76" s="58" t="s">
        <v>31</v>
      </c>
      <c r="AJ76" s="166">
        <f>COUNTIFS(JOURNAL!F:F,"8",JOURNAL!L:L,"50-60",JOURNAL!O:O,"LS")</f>
        <v>0</v>
      </c>
      <c r="AK76" s="271"/>
      <c r="AL76" s="58" t="s">
        <v>31</v>
      </c>
      <c r="AM76" s="166">
        <f>COUNTIFS(JOURNAL!F:F,"8",JOURNAL!L:L,"60-70",JOURNAL!O:O,"LS")</f>
        <v>0</v>
      </c>
      <c r="AN76" s="271"/>
      <c r="AO76" s="58" t="s">
        <v>31</v>
      </c>
      <c r="AP76" s="166">
        <f>COUNTIFS(JOURNAL!F:F,"8",JOURNAL!L:L,"70-80",JOURNAL!O:O,"LS")</f>
        <v>0</v>
      </c>
      <c r="AQ76" s="271"/>
      <c r="AR76" s="58" t="s">
        <v>31</v>
      </c>
      <c r="AS76" s="166">
        <f>COUNTIFS(JOURNAL!F:F,"8",JOURNAL!L:L,"80-90",JOURNAL!O:O,"LS")</f>
        <v>0</v>
      </c>
      <c r="AT76" s="271"/>
      <c r="AU76" s="58" t="s">
        <v>31</v>
      </c>
      <c r="AV76" s="166">
        <f>COUNTIFS(JOURNAL!F:F,"8",JOURNAL!L:L,"90-100",JOURNAL!O:O,"LS")</f>
        <v>0</v>
      </c>
    </row>
    <row r="77" spans="33:48" ht="15.75" x14ac:dyDescent="0.25">
      <c r="AG77" s="273"/>
      <c r="AH77" s="271"/>
      <c r="AI77" s="59" t="s">
        <v>33</v>
      </c>
      <c r="AJ77" s="166">
        <f>COUNTIFS(JOURNAL!F:F,"8",JOURNAL!L:L,"50-60",JOURNAL!O:O,"OT +")</f>
        <v>0</v>
      </c>
      <c r="AK77" s="271"/>
      <c r="AL77" s="59" t="s">
        <v>33</v>
      </c>
      <c r="AM77" s="166">
        <f>COUNTIFS(JOURNAL!F:F,"8",JOURNAL!L:L,"60-70",JOURNAL!O:O,"OT +")</f>
        <v>0</v>
      </c>
      <c r="AN77" s="271"/>
      <c r="AO77" s="59" t="s">
        <v>33</v>
      </c>
      <c r="AP77" s="166">
        <f>COUNTIFS(JOURNAL!F:F,"8",JOURNAL!L:L,"70-80",JOURNAL!O:O,"OT +")</f>
        <v>0</v>
      </c>
      <c r="AQ77" s="271"/>
      <c r="AR77" s="59" t="s">
        <v>33</v>
      </c>
      <c r="AS77" s="166">
        <f>COUNTIFS(JOURNAL!F:F,"8",JOURNAL!L:L,"80-90",JOURNAL!O:O,"OT +")</f>
        <v>0</v>
      </c>
      <c r="AT77" s="271"/>
      <c r="AU77" s="59" t="s">
        <v>33</v>
      </c>
      <c r="AV77" s="166">
        <f>COUNTIFS(JOURNAL!F:F,"8",JOURNAL!L:L,"90-100",JOURNAL!O:O,"OT +")</f>
        <v>0</v>
      </c>
    </row>
    <row r="78" spans="33:48" ht="15.75" x14ac:dyDescent="0.25">
      <c r="AG78" s="273"/>
      <c r="AH78" s="271"/>
      <c r="AI78" s="60" t="s">
        <v>34</v>
      </c>
      <c r="AJ78" s="166">
        <f>COUNTIFS(JOURNAL!F:F,"8",JOURNAL!L:L,"50-60",JOURNAL!O:O,"OT -")</f>
        <v>0</v>
      </c>
      <c r="AK78" s="271"/>
      <c r="AL78" s="60" t="s">
        <v>34</v>
      </c>
      <c r="AM78" s="166">
        <f>COUNTIFS(JOURNAL!F:F,"8",JOURNAL!L:L,"60-70",JOURNAL!O:O,"OT -")</f>
        <v>0</v>
      </c>
      <c r="AN78" s="271"/>
      <c r="AO78" s="60" t="s">
        <v>34</v>
      </c>
      <c r="AP78" s="166">
        <f>COUNTIFS(JOURNAL!F:F,"8",JOURNAL!L:L,"70-80",JOURNAL!O:O,"OT -")</f>
        <v>0</v>
      </c>
      <c r="AQ78" s="271"/>
      <c r="AR78" s="60" t="s">
        <v>34</v>
      </c>
      <c r="AS78" s="166">
        <f>COUNTIFS(JOURNAL!F:F,"8",JOURNAL!L:L,"80-90",JOURNAL!O:O,"OT -")</f>
        <v>0</v>
      </c>
      <c r="AT78" s="271"/>
      <c r="AU78" s="60" t="s">
        <v>34</v>
      </c>
      <c r="AV78" s="166">
        <f>COUNTIFS(JOURNAL!F:F,"8",JOURNAL!L:L,"90-100",JOURNAL!O:O,"OT -")</f>
        <v>0</v>
      </c>
    </row>
    <row r="79" spans="33:48" ht="15.75" x14ac:dyDescent="0.25">
      <c r="AG79" s="273"/>
      <c r="AH79" s="271"/>
      <c r="AI79" s="25" t="s">
        <v>115</v>
      </c>
      <c r="AJ79" s="166">
        <f>SUM(AJ72:AJ78)</f>
        <v>0</v>
      </c>
      <c r="AK79" s="271"/>
      <c r="AL79" s="25" t="s">
        <v>115</v>
      </c>
      <c r="AM79" s="166">
        <f>SUM(AM72:AM78)</f>
        <v>0</v>
      </c>
      <c r="AN79" s="271"/>
      <c r="AO79" s="25" t="s">
        <v>115</v>
      </c>
      <c r="AP79" s="166">
        <f>SUM(AP72:AP78)</f>
        <v>0</v>
      </c>
      <c r="AQ79" s="271"/>
      <c r="AR79" s="25" t="s">
        <v>115</v>
      </c>
      <c r="AS79" s="166">
        <f>SUM(AS72:AS78)</f>
        <v>0</v>
      </c>
      <c r="AT79" s="271"/>
      <c r="AU79" s="25" t="s">
        <v>115</v>
      </c>
      <c r="AV79" s="166">
        <f>SUM(AV72:AV78)</f>
        <v>0</v>
      </c>
    </row>
    <row r="80" spans="33:48" ht="15.75" x14ac:dyDescent="0.25">
      <c r="AG80" s="273"/>
      <c r="AH80" s="272"/>
      <c r="AI80" s="29" t="s">
        <v>44</v>
      </c>
      <c r="AJ80" s="164" t="e">
        <f>SUM(AJ72,AJ74,AJ75,AJ77)/AJ79</f>
        <v>#DIV/0!</v>
      </c>
      <c r="AK80" s="272"/>
      <c r="AL80" s="29" t="s">
        <v>44</v>
      </c>
      <c r="AM80" s="164" t="e">
        <f>SUM(AM72,AM74,AM75,AM77)/AM79</f>
        <v>#DIV/0!</v>
      </c>
      <c r="AN80" s="272"/>
      <c r="AO80" s="29" t="s">
        <v>44</v>
      </c>
      <c r="AP80" s="164" t="e">
        <f>SUM(AP72,AP74,AP75,AP77)/AP79</f>
        <v>#DIV/0!</v>
      </c>
      <c r="AQ80" s="272"/>
      <c r="AR80" s="29" t="s">
        <v>44</v>
      </c>
      <c r="AS80" s="164" t="e">
        <f>SUM(AS72,AS74,AS75,AS77)/AS79</f>
        <v>#DIV/0!</v>
      </c>
      <c r="AT80" s="272"/>
      <c r="AU80" s="29" t="s">
        <v>44</v>
      </c>
      <c r="AV80" s="164" t="e">
        <f>SUM(AV72,AV74,AV75,AV77)/AV79</f>
        <v>#DIV/0!</v>
      </c>
    </row>
    <row r="82" spans="33:48" ht="15.75" customHeight="1" x14ac:dyDescent="0.25">
      <c r="AG82" s="273" t="s">
        <v>76</v>
      </c>
      <c r="AH82" s="270" t="s">
        <v>18</v>
      </c>
      <c r="AI82" s="54" t="s">
        <v>27</v>
      </c>
      <c r="AJ82" s="166">
        <f>COUNTIFS(JOURNAL!F:F,"9",JOURNAL!L:L,"50-60",JOURNAL!O:O,"TP")</f>
        <v>0</v>
      </c>
      <c r="AK82" s="270" t="s">
        <v>19</v>
      </c>
      <c r="AL82" s="54" t="s">
        <v>27</v>
      </c>
      <c r="AM82" s="166">
        <f>COUNTIFS(JOURNAL!F:F,"9",JOURNAL!L:L,"60-70",JOURNAL!O:O,"TP")</f>
        <v>0</v>
      </c>
      <c r="AN82" s="270" t="s">
        <v>20</v>
      </c>
      <c r="AO82" s="54" t="s">
        <v>27</v>
      </c>
      <c r="AP82" s="166">
        <f>COUNTIFS(JOURNAL!F:F,"9",JOURNAL!L:L,"70-80",JOURNAL!O:O,"TP")</f>
        <v>0</v>
      </c>
      <c r="AQ82" s="270" t="s">
        <v>21</v>
      </c>
      <c r="AR82" s="54" t="s">
        <v>27</v>
      </c>
      <c r="AS82" s="166">
        <f>COUNTIFS(JOURNAL!F:F,"9",JOURNAL!L:L,"80-90",JOURNAL!O:O,"TP")</f>
        <v>0</v>
      </c>
      <c r="AT82" s="270" t="s">
        <v>59</v>
      </c>
      <c r="AU82" s="54" t="s">
        <v>27</v>
      </c>
      <c r="AV82" s="166">
        <f>COUNTIFS(JOURNAL!F:F,"9",JOURNAL!L:L,"90-100",JOURNAL!O:O,"TP")</f>
        <v>0</v>
      </c>
    </row>
    <row r="83" spans="33:48" ht="15.75" x14ac:dyDescent="0.25">
      <c r="AG83" s="273"/>
      <c r="AH83" s="271"/>
      <c r="AI83" s="55" t="s">
        <v>29</v>
      </c>
      <c r="AJ83" s="166">
        <f>COUNTIFS(JOURNAL!F:F,"9",JOURNAL!L:L,"50-60",JOURNAL!O:O,"SL")</f>
        <v>0</v>
      </c>
      <c r="AK83" s="271"/>
      <c r="AL83" s="55" t="s">
        <v>29</v>
      </c>
      <c r="AM83" s="166">
        <f>COUNTIFS(JOURNAL!F:F,"9",JOURNAL!L:L,"60-70",JOURNAL!O:O,"SL")</f>
        <v>0</v>
      </c>
      <c r="AN83" s="271"/>
      <c r="AO83" s="55" t="s">
        <v>29</v>
      </c>
      <c r="AP83" s="166">
        <f>COUNTIFS(JOURNAL!F:F,"9",JOURNAL!L:L,"70-80",JOURNAL!O:O,"SL")</f>
        <v>0</v>
      </c>
      <c r="AQ83" s="271"/>
      <c r="AR83" s="55" t="s">
        <v>29</v>
      </c>
      <c r="AS83" s="166">
        <f>COUNTIFS(JOURNAL!F:F,"9",JOURNAL!L:L,"80-90",JOURNAL!O:O,"SL")</f>
        <v>0</v>
      </c>
      <c r="AT83" s="271"/>
      <c r="AU83" s="55" t="s">
        <v>29</v>
      </c>
      <c r="AV83" s="166">
        <f>COUNTIFS(JOURNAL!F:F,"9",JOURNAL!L:L,"90-100",JOURNAL!O:O,"SL")</f>
        <v>0</v>
      </c>
    </row>
    <row r="84" spans="33:48" ht="15.75" x14ac:dyDescent="0.25">
      <c r="AG84" s="273"/>
      <c r="AH84" s="271"/>
      <c r="AI84" s="56" t="s">
        <v>32</v>
      </c>
      <c r="AJ84" s="166">
        <f>COUNTIFS(JOURNAL!F:F,"9",JOURNAL!L:L,"50-60",JOURNAL!O:O,"RF")</f>
        <v>0</v>
      </c>
      <c r="AK84" s="271"/>
      <c r="AL84" s="56" t="s">
        <v>32</v>
      </c>
      <c r="AM84" s="166">
        <f>COUNTIFS(JOURNAL!F:F,"9",JOURNAL!L:L,"60-70",JOURNAL!O:O,"RF")</f>
        <v>0</v>
      </c>
      <c r="AN84" s="271"/>
      <c r="AO84" s="56" t="s">
        <v>32</v>
      </c>
      <c r="AP84" s="166">
        <f>COUNTIFS(JOURNAL!F:F,"9",JOURNAL!L:L,"70-80",JOURNAL!O:O,"RF")</f>
        <v>0</v>
      </c>
      <c r="AQ84" s="271"/>
      <c r="AR84" s="56" t="s">
        <v>32</v>
      </c>
      <c r="AS84" s="166">
        <f>COUNTIFS(JOURNAL!F:F,"9",JOURNAL!L:L,"80-90",JOURNAL!O:O,"RF")</f>
        <v>0</v>
      </c>
      <c r="AT84" s="271"/>
      <c r="AU84" s="56" t="s">
        <v>32</v>
      </c>
      <c r="AV84" s="166">
        <f>COUNTIFS(JOURNAL!F:F,"9",JOURNAL!L:L,"90-100",JOURNAL!O:O,"RF")</f>
        <v>0</v>
      </c>
    </row>
    <row r="85" spans="33:48" ht="15.75" x14ac:dyDescent="0.25">
      <c r="AG85" s="273"/>
      <c r="AH85" s="271"/>
      <c r="AI85" s="57" t="s">
        <v>30</v>
      </c>
      <c r="AJ85" s="166">
        <f>COUNTIFS(JOURNAL!F:F,"9",JOURNAL!L:L,"50-60",JOURNAL!O:O,"PS")</f>
        <v>0</v>
      </c>
      <c r="AK85" s="271"/>
      <c r="AL85" s="57" t="s">
        <v>30</v>
      </c>
      <c r="AM85" s="166">
        <f>COUNTIFS(JOURNAL!F:F,"9",JOURNAL!L:L,"60-70",JOURNAL!O:O,"PS")</f>
        <v>0</v>
      </c>
      <c r="AN85" s="271"/>
      <c r="AO85" s="57" t="s">
        <v>30</v>
      </c>
      <c r="AP85" s="166">
        <f>COUNTIFS(JOURNAL!F:F,"9",JOURNAL!L:L,"70-80",JOURNAL!O:O,"PS")</f>
        <v>0</v>
      </c>
      <c r="AQ85" s="271"/>
      <c r="AR85" s="57" t="s">
        <v>30</v>
      </c>
      <c r="AS85" s="166">
        <f>COUNTIFS(JOURNAL!F:F,"9",JOURNAL!L:L,"80-90",JOURNAL!O:O,"PS")</f>
        <v>0</v>
      </c>
      <c r="AT85" s="271"/>
      <c r="AU85" s="57" t="s">
        <v>30</v>
      </c>
      <c r="AV85" s="166">
        <f>COUNTIFS(JOURNAL!F:F,"9",JOURNAL!L:L,"90-100",JOURNAL!O:O,"PS")</f>
        <v>0</v>
      </c>
    </row>
    <row r="86" spans="33:48" ht="15.75" x14ac:dyDescent="0.25">
      <c r="AG86" s="273"/>
      <c r="AH86" s="271"/>
      <c r="AI86" s="58" t="s">
        <v>31</v>
      </c>
      <c r="AJ86" s="166">
        <f>COUNTIFS(JOURNAL!F:F,"9",JOURNAL!L:L,"50-60",JOURNAL!O:O,"LS")</f>
        <v>0</v>
      </c>
      <c r="AK86" s="271"/>
      <c r="AL86" s="58" t="s">
        <v>31</v>
      </c>
      <c r="AM86" s="166">
        <f>COUNTIFS(JOURNAL!F:F,"9",JOURNAL!L:L,"60-70",JOURNAL!O:O,"LS")</f>
        <v>0</v>
      </c>
      <c r="AN86" s="271"/>
      <c r="AO86" s="58" t="s">
        <v>31</v>
      </c>
      <c r="AP86" s="166">
        <f>COUNTIFS(JOURNAL!F:F,"9",JOURNAL!L:L,"70-80",JOURNAL!O:O,"LS")</f>
        <v>0</v>
      </c>
      <c r="AQ86" s="271"/>
      <c r="AR86" s="58" t="s">
        <v>31</v>
      </c>
      <c r="AS86" s="166">
        <f>COUNTIFS(JOURNAL!F:F,"9",JOURNAL!L:L,"80-90",JOURNAL!O:O,"LS")</f>
        <v>0</v>
      </c>
      <c r="AT86" s="271"/>
      <c r="AU86" s="58" t="s">
        <v>31</v>
      </c>
      <c r="AV86" s="166">
        <f>COUNTIFS(JOURNAL!F:F,"9",JOURNAL!L:L,"90-100",JOURNAL!O:O,"LS")</f>
        <v>0</v>
      </c>
    </row>
    <row r="87" spans="33:48" ht="15.75" x14ac:dyDescent="0.25">
      <c r="AG87" s="273"/>
      <c r="AH87" s="271"/>
      <c r="AI87" s="59" t="s">
        <v>33</v>
      </c>
      <c r="AJ87" s="166">
        <f>COUNTIFS(JOURNAL!F:F,"9",JOURNAL!L:L,"50-60",JOURNAL!O:O,"OT +")</f>
        <v>0</v>
      </c>
      <c r="AK87" s="271"/>
      <c r="AL87" s="59" t="s">
        <v>33</v>
      </c>
      <c r="AM87" s="166">
        <f>COUNTIFS(JOURNAL!F:F,"9",JOURNAL!L:L,"60-70",JOURNAL!O:O,"OT +")</f>
        <v>0</v>
      </c>
      <c r="AN87" s="271"/>
      <c r="AO87" s="59" t="s">
        <v>33</v>
      </c>
      <c r="AP87" s="166">
        <f>COUNTIFS(JOURNAL!F:F,"9",JOURNAL!L:L,"70-80",JOURNAL!O:O,"OT +")</f>
        <v>0</v>
      </c>
      <c r="AQ87" s="271"/>
      <c r="AR87" s="59" t="s">
        <v>33</v>
      </c>
      <c r="AS87" s="166">
        <f>COUNTIFS(JOURNAL!F:F,"9",JOURNAL!L:L,"80-90",JOURNAL!O:O,"OT +")</f>
        <v>0</v>
      </c>
      <c r="AT87" s="271"/>
      <c r="AU87" s="59" t="s">
        <v>33</v>
      </c>
      <c r="AV87" s="166">
        <f>COUNTIFS(JOURNAL!F:F,"9",JOURNAL!L:L,"90-100",JOURNAL!O:O,"OT +")</f>
        <v>0</v>
      </c>
    </row>
    <row r="88" spans="33:48" ht="15.75" x14ac:dyDescent="0.25">
      <c r="AG88" s="273"/>
      <c r="AH88" s="271"/>
      <c r="AI88" s="60" t="s">
        <v>34</v>
      </c>
      <c r="AJ88" s="166">
        <f>COUNTIFS(JOURNAL!F:F,"9",JOURNAL!L:L,"50-60",JOURNAL!O:O,"OT -")</f>
        <v>0</v>
      </c>
      <c r="AK88" s="271"/>
      <c r="AL88" s="60" t="s">
        <v>34</v>
      </c>
      <c r="AM88" s="166">
        <f>COUNTIFS(JOURNAL!F:F,"9",JOURNAL!L:L,"60-70",JOURNAL!O:O,"OT -")</f>
        <v>0</v>
      </c>
      <c r="AN88" s="271"/>
      <c r="AO88" s="60" t="s">
        <v>34</v>
      </c>
      <c r="AP88" s="166">
        <f>COUNTIFS(JOURNAL!F:F,"9",JOURNAL!L:L,"70-80",JOURNAL!O:O,"OT -")</f>
        <v>0</v>
      </c>
      <c r="AQ88" s="271"/>
      <c r="AR88" s="60" t="s">
        <v>34</v>
      </c>
      <c r="AS88" s="166">
        <f>COUNTIFS(JOURNAL!F:F,"9",JOURNAL!L:L,"80-90",JOURNAL!O:O,"OT -")</f>
        <v>0</v>
      </c>
      <c r="AT88" s="271"/>
      <c r="AU88" s="60" t="s">
        <v>34</v>
      </c>
      <c r="AV88" s="166">
        <f>COUNTIFS(JOURNAL!F:F,"9",JOURNAL!L:L,"90-100",JOURNAL!O:O,"OT -")</f>
        <v>0</v>
      </c>
    </row>
    <row r="89" spans="33:48" ht="15.75" x14ac:dyDescent="0.25">
      <c r="AG89" s="273"/>
      <c r="AH89" s="271"/>
      <c r="AI89" s="25" t="s">
        <v>115</v>
      </c>
      <c r="AJ89" s="166">
        <f>SUM(AJ82:AJ88)</f>
        <v>0</v>
      </c>
      <c r="AK89" s="271"/>
      <c r="AL89" s="25" t="s">
        <v>115</v>
      </c>
      <c r="AM89" s="166">
        <f>SUM(AM82:AM88)</f>
        <v>0</v>
      </c>
      <c r="AN89" s="271"/>
      <c r="AO89" s="25" t="s">
        <v>115</v>
      </c>
      <c r="AP89" s="166">
        <f>SUM(AP82:AP88)</f>
        <v>0</v>
      </c>
      <c r="AQ89" s="271"/>
      <c r="AR89" s="25" t="s">
        <v>115</v>
      </c>
      <c r="AS89" s="166">
        <f>SUM(AS82:AS88)</f>
        <v>0</v>
      </c>
      <c r="AT89" s="271"/>
      <c r="AU89" s="25" t="s">
        <v>115</v>
      </c>
      <c r="AV89" s="166">
        <f>SUM(AV82:AV88)</f>
        <v>0</v>
      </c>
    </row>
    <row r="90" spans="33:48" ht="15.75" x14ac:dyDescent="0.25">
      <c r="AG90" s="273"/>
      <c r="AH90" s="272"/>
      <c r="AI90" s="29" t="s">
        <v>44</v>
      </c>
      <c r="AJ90" s="164" t="e">
        <f>SUM(AJ82,AJ84,AJ85,AJ87)/AJ89</f>
        <v>#DIV/0!</v>
      </c>
      <c r="AK90" s="272"/>
      <c r="AL90" s="29" t="s">
        <v>44</v>
      </c>
      <c r="AM90" s="164" t="e">
        <f>SUM(AM82,AM84,AM85,AM87)/AM89</f>
        <v>#DIV/0!</v>
      </c>
      <c r="AN90" s="272"/>
      <c r="AO90" s="29" t="s">
        <v>44</v>
      </c>
      <c r="AP90" s="164" t="e">
        <f>SUM(AP82,AP84,AP85,AP87)/AP89</f>
        <v>#DIV/0!</v>
      </c>
      <c r="AQ90" s="272"/>
      <c r="AR90" s="29" t="s">
        <v>44</v>
      </c>
      <c r="AS90" s="164" t="e">
        <f>SUM(AS82,AS84,AS85,AS87)/AS89</f>
        <v>#DIV/0!</v>
      </c>
      <c r="AT90" s="272"/>
      <c r="AU90" s="29" t="s">
        <v>44</v>
      </c>
      <c r="AV90" s="164" t="e">
        <f>SUM(AV82,AV84,AV85,AV87)/AV89</f>
        <v>#DIV/0!</v>
      </c>
    </row>
    <row r="92" spans="33:48" ht="15.75" customHeight="1" x14ac:dyDescent="0.25">
      <c r="AG92" s="273" t="s">
        <v>77</v>
      </c>
      <c r="AH92" s="270" t="s">
        <v>18</v>
      </c>
      <c r="AI92" s="54" t="s">
        <v>27</v>
      </c>
      <c r="AJ92" s="166">
        <f>COUNTIFS(JOURNAL!F:F,"10",JOURNAL!L:L,"50-60",JOURNAL!O:O,"TP")</f>
        <v>0</v>
      </c>
      <c r="AK92" s="270" t="s">
        <v>19</v>
      </c>
      <c r="AL92" s="54" t="s">
        <v>27</v>
      </c>
      <c r="AM92" s="166">
        <f>COUNTIFS(JOURNAL!F:F,"10",JOURNAL!L:L,"60-70",JOURNAL!O:O,"TP")</f>
        <v>0</v>
      </c>
      <c r="AN92" s="270" t="s">
        <v>20</v>
      </c>
      <c r="AO92" s="54" t="s">
        <v>27</v>
      </c>
      <c r="AP92" s="166">
        <f>COUNTIFS(JOURNAL!F:F,"10",JOURNAL!L:L,"70-80",JOURNAL!O:O,"TP")</f>
        <v>0</v>
      </c>
      <c r="AQ92" s="270" t="s">
        <v>21</v>
      </c>
      <c r="AR92" s="54" t="s">
        <v>27</v>
      </c>
      <c r="AS92" s="166">
        <f>COUNTIFS(JOURNAL!F:F,"10",JOURNAL!L:L,"80-90",JOURNAL!O:O,"TP")</f>
        <v>0</v>
      </c>
      <c r="AT92" s="270" t="s">
        <v>59</v>
      </c>
      <c r="AU92" s="54" t="s">
        <v>27</v>
      </c>
      <c r="AV92" s="166">
        <f>COUNTIFS(JOURNAL!F:F,"10",JOURNAL!L:L,"90-100",JOURNAL!O:O,"TP")</f>
        <v>0</v>
      </c>
    </row>
    <row r="93" spans="33:48" ht="15.75" x14ac:dyDescent="0.25">
      <c r="AG93" s="273"/>
      <c r="AH93" s="271"/>
      <c r="AI93" s="55" t="s">
        <v>29</v>
      </c>
      <c r="AJ93" s="166">
        <f>COUNTIFS(JOURNAL!F:F,"10",JOURNAL!L:L,"50-60",JOURNAL!O:O,"SL")</f>
        <v>0</v>
      </c>
      <c r="AK93" s="271"/>
      <c r="AL93" s="55" t="s">
        <v>29</v>
      </c>
      <c r="AM93" s="166">
        <f>COUNTIFS(JOURNAL!F:F,"10",JOURNAL!L:L,"60-70",JOURNAL!O:O,"SL")</f>
        <v>0</v>
      </c>
      <c r="AN93" s="271"/>
      <c r="AO93" s="55" t="s">
        <v>29</v>
      </c>
      <c r="AP93" s="166">
        <f>COUNTIFS(JOURNAL!F:F,"10",JOURNAL!L:L,"70-80",JOURNAL!O:O,"SL")</f>
        <v>0</v>
      </c>
      <c r="AQ93" s="271"/>
      <c r="AR93" s="55" t="s">
        <v>29</v>
      </c>
      <c r="AS93" s="166">
        <f>COUNTIFS(JOURNAL!F:F,"10",JOURNAL!L:L,"80-90",JOURNAL!O:O,"SL")</f>
        <v>0</v>
      </c>
      <c r="AT93" s="271"/>
      <c r="AU93" s="55" t="s">
        <v>29</v>
      </c>
      <c r="AV93" s="166">
        <f>COUNTIFS(JOURNAL!F:F,"10",JOURNAL!L:L,"90-100",JOURNAL!O:O,"SL")</f>
        <v>0</v>
      </c>
    </row>
    <row r="94" spans="33:48" ht="15.75" x14ac:dyDescent="0.25">
      <c r="AG94" s="273"/>
      <c r="AH94" s="271"/>
      <c r="AI94" s="56" t="s">
        <v>32</v>
      </c>
      <c r="AJ94" s="166">
        <f>COUNTIFS(JOURNAL!F:F,"10",JOURNAL!L:L,"50-60",JOURNAL!O:O,"RF")</f>
        <v>0</v>
      </c>
      <c r="AK94" s="271"/>
      <c r="AL94" s="56" t="s">
        <v>32</v>
      </c>
      <c r="AM94" s="166">
        <f>COUNTIFS(JOURNAL!F:F,"10",JOURNAL!L:L,"60-70",JOURNAL!O:O,"RF")</f>
        <v>0</v>
      </c>
      <c r="AN94" s="271"/>
      <c r="AO94" s="56" t="s">
        <v>32</v>
      </c>
      <c r="AP94" s="166">
        <f>COUNTIFS(JOURNAL!F:F,"10",JOURNAL!L:L,"70-80",JOURNAL!O:O,"RF")</f>
        <v>0</v>
      </c>
      <c r="AQ94" s="271"/>
      <c r="AR94" s="56" t="s">
        <v>32</v>
      </c>
      <c r="AS94" s="166">
        <f>COUNTIFS(JOURNAL!F:F,"10",JOURNAL!L:L,"80-90",JOURNAL!O:O,"RF")</f>
        <v>0</v>
      </c>
      <c r="AT94" s="271"/>
      <c r="AU94" s="56" t="s">
        <v>32</v>
      </c>
      <c r="AV94" s="166">
        <f>COUNTIFS(JOURNAL!F:F,"10",JOURNAL!L:L,"90-100",JOURNAL!O:O,"RF")</f>
        <v>0</v>
      </c>
    </row>
    <row r="95" spans="33:48" ht="15.75" x14ac:dyDescent="0.25">
      <c r="AG95" s="273"/>
      <c r="AH95" s="271"/>
      <c r="AI95" s="57" t="s">
        <v>30</v>
      </c>
      <c r="AJ95" s="166">
        <f>COUNTIFS(JOURNAL!F:F,"10",JOURNAL!L:L,"50-60",JOURNAL!O:O,"PS")</f>
        <v>0</v>
      </c>
      <c r="AK95" s="271"/>
      <c r="AL95" s="57" t="s">
        <v>30</v>
      </c>
      <c r="AM95" s="166">
        <f>COUNTIFS(JOURNAL!F:F,"10",JOURNAL!L:L,"60-70",JOURNAL!O:O,"PS")</f>
        <v>0</v>
      </c>
      <c r="AN95" s="271"/>
      <c r="AO95" s="57" t="s">
        <v>30</v>
      </c>
      <c r="AP95" s="166">
        <f>COUNTIFS(JOURNAL!F:F,"10",JOURNAL!L:L,"70-80",JOURNAL!O:O,"PS")</f>
        <v>0</v>
      </c>
      <c r="AQ95" s="271"/>
      <c r="AR95" s="57" t="s">
        <v>30</v>
      </c>
      <c r="AS95" s="166">
        <f>COUNTIFS(JOURNAL!F:F,"10",JOURNAL!L:L,"80-90",JOURNAL!O:O,"PS")</f>
        <v>0</v>
      </c>
      <c r="AT95" s="271"/>
      <c r="AU95" s="57" t="s">
        <v>30</v>
      </c>
      <c r="AV95" s="166">
        <f>COUNTIFS(JOURNAL!F:F,"10",JOURNAL!L:L,"90-100",JOURNAL!O:O,"PS")</f>
        <v>0</v>
      </c>
    </row>
    <row r="96" spans="33:48" ht="15.75" x14ac:dyDescent="0.25">
      <c r="AG96" s="273"/>
      <c r="AH96" s="271"/>
      <c r="AI96" s="58" t="s">
        <v>31</v>
      </c>
      <c r="AJ96" s="166">
        <f>COUNTIFS(JOURNAL!F:F,"10",JOURNAL!L:L,"50-60",JOURNAL!O:O,"LS")</f>
        <v>0</v>
      </c>
      <c r="AK96" s="271"/>
      <c r="AL96" s="58" t="s">
        <v>31</v>
      </c>
      <c r="AM96" s="166">
        <f>COUNTIFS(JOURNAL!F:F,"10",JOURNAL!L:L,"60-70",JOURNAL!O:O,"LS")</f>
        <v>0</v>
      </c>
      <c r="AN96" s="271"/>
      <c r="AO96" s="58" t="s">
        <v>31</v>
      </c>
      <c r="AP96" s="166">
        <f>COUNTIFS(JOURNAL!F:F,"10",JOURNAL!L:L,"70-80",JOURNAL!O:O,"LS")</f>
        <v>0</v>
      </c>
      <c r="AQ96" s="271"/>
      <c r="AR96" s="58" t="s">
        <v>31</v>
      </c>
      <c r="AS96" s="166">
        <f>COUNTIFS(JOURNAL!F:F,"10",JOURNAL!L:L,"80-90",JOURNAL!O:O,"LS")</f>
        <v>0</v>
      </c>
      <c r="AT96" s="271"/>
      <c r="AU96" s="58" t="s">
        <v>31</v>
      </c>
      <c r="AV96" s="166">
        <f>COUNTIFS(JOURNAL!F:F,"10",JOURNAL!L:L,"90-100",JOURNAL!O:O,"LS")</f>
        <v>0</v>
      </c>
    </row>
    <row r="97" spans="33:48" ht="15.75" x14ac:dyDescent="0.25">
      <c r="AG97" s="273"/>
      <c r="AH97" s="271"/>
      <c r="AI97" s="59" t="s">
        <v>33</v>
      </c>
      <c r="AJ97" s="166">
        <f>COUNTIFS(JOURNAL!F:F,"10",JOURNAL!L:L,"50-60",JOURNAL!O:O,"OT +")</f>
        <v>0</v>
      </c>
      <c r="AK97" s="271"/>
      <c r="AL97" s="59" t="s">
        <v>33</v>
      </c>
      <c r="AM97" s="166">
        <f>COUNTIFS(JOURNAL!F:F,"10",JOURNAL!L:L,"60-70",JOURNAL!O:O,"OT +")</f>
        <v>0</v>
      </c>
      <c r="AN97" s="271"/>
      <c r="AO97" s="59" t="s">
        <v>33</v>
      </c>
      <c r="AP97" s="166">
        <f>COUNTIFS(JOURNAL!F:F,"10",JOURNAL!L:L,"70-80",JOURNAL!O:O,"OT +")</f>
        <v>0</v>
      </c>
      <c r="AQ97" s="271"/>
      <c r="AR97" s="59" t="s">
        <v>33</v>
      </c>
      <c r="AS97" s="166">
        <f>COUNTIFS(JOURNAL!F:F,"10",JOURNAL!L:L,"80-90",JOURNAL!O:O,"OT +")</f>
        <v>0</v>
      </c>
      <c r="AT97" s="271"/>
      <c r="AU97" s="59" t="s">
        <v>33</v>
      </c>
      <c r="AV97" s="166">
        <f>COUNTIFS(JOURNAL!F:F,"10",JOURNAL!L:L,"90-100",JOURNAL!O:O,"OT +")</f>
        <v>0</v>
      </c>
    </row>
    <row r="98" spans="33:48" ht="15.75" x14ac:dyDescent="0.25">
      <c r="AG98" s="273"/>
      <c r="AH98" s="271"/>
      <c r="AI98" s="60" t="s">
        <v>34</v>
      </c>
      <c r="AJ98" s="166">
        <f>COUNTIFS(JOURNAL!F:F,"10",JOURNAL!L:L,"50-60",JOURNAL!O:O,"OT -")</f>
        <v>0</v>
      </c>
      <c r="AK98" s="271"/>
      <c r="AL98" s="60" t="s">
        <v>34</v>
      </c>
      <c r="AM98" s="166">
        <f>COUNTIFS(JOURNAL!F:F,"10",JOURNAL!L:L,"60-70",JOURNAL!O:O,"OT -")</f>
        <v>0</v>
      </c>
      <c r="AN98" s="271"/>
      <c r="AO98" s="60" t="s">
        <v>34</v>
      </c>
      <c r="AP98" s="166">
        <f>COUNTIFS(JOURNAL!F:F,"10",JOURNAL!L:L,"70-80",JOURNAL!O:O,"OT -")</f>
        <v>0</v>
      </c>
      <c r="AQ98" s="271"/>
      <c r="AR98" s="60" t="s">
        <v>34</v>
      </c>
      <c r="AS98" s="166">
        <f>COUNTIFS(JOURNAL!F:F,"10",JOURNAL!L:L,"80-90",JOURNAL!O:O,"OT -")</f>
        <v>0</v>
      </c>
      <c r="AT98" s="271"/>
      <c r="AU98" s="60" t="s">
        <v>34</v>
      </c>
      <c r="AV98" s="166">
        <f>COUNTIFS(JOURNAL!F:F,"10",JOURNAL!L:L,"90-100",JOURNAL!O:O,"OT -")</f>
        <v>0</v>
      </c>
    </row>
    <row r="99" spans="33:48" ht="15.75" x14ac:dyDescent="0.25">
      <c r="AG99" s="273"/>
      <c r="AH99" s="271"/>
      <c r="AI99" s="25" t="s">
        <v>115</v>
      </c>
      <c r="AJ99" s="166">
        <f>SUM(AJ92:AJ98)</f>
        <v>0</v>
      </c>
      <c r="AK99" s="271"/>
      <c r="AL99" s="25" t="s">
        <v>115</v>
      </c>
      <c r="AM99" s="166">
        <f>SUM(AM92:AM98)</f>
        <v>0</v>
      </c>
      <c r="AN99" s="271"/>
      <c r="AO99" s="25" t="s">
        <v>115</v>
      </c>
      <c r="AP99" s="166">
        <f>SUM(AP92:AP98)</f>
        <v>0</v>
      </c>
      <c r="AQ99" s="271"/>
      <c r="AR99" s="25" t="s">
        <v>115</v>
      </c>
      <c r="AS99" s="166">
        <f>SUM(AS92:AS98)</f>
        <v>0</v>
      </c>
      <c r="AT99" s="271"/>
      <c r="AU99" s="25" t="s">
        <v>115</v>
      </c>
      <c r="AV99" s="166">
        <f>SUM(AV92:AV98)</f>
        <v>0</v>
      </c>
    </row>
    <row r="100" spans="33:48" ht="15.75" x14ac:dyDescent="0.25">
      <c r="AG100" s="273"/>
      <c r="AH100" s="272"/>
      <c r="AI100" s="29" t="s">
        <v>44</v>
      </c>
      <c r="AJ100" s="164" t="e">
        <f>SUM(AJ92,AJ94,AJ95,AJ97)/AJ99</f>
        <v>#DIV/0!</v>
      </c>
      <c r="AK100" s="272"/>
      <c r="AL100" s="29" t="s">
        <v>44</v>
      </c>
      <c r="AM100" s="164" t="e">
        <f>SUM(AM92,AM94,AM95,AM97)/AM99</f>
        <v>#DIV/0!</v>
      </c>
      <c r="AN100" s="272"/>
      <c r="AO100" s="29" t="s">
        <v>44</v>
      </c>
      <c r="AP100" s="164" t="e">
        <f>SUM(AP92,AP94,AP95,AP97)/AP99</f>
        <v>#DIV/0!</v>
      </c>
      <c r="AQ100" s="272"/>
      <c r="AR100" s="29" t="s">
        <v>44</v>
      </c>
      <c r="AS100" s="164" t="e">
        <f>SUM(AS92,AS94,AS95,AS97)/AS99</f>
        <v>#DIV/0!</v>
      </c>
      <c r="AT100" s="272"/>
      <c r="AU100" s="29" t="s">
        <v>44</v>
      </c>
      <c r="AV100" s="164" t="e">
        <f>SUM(AV92,AV94,AV95,AV97)/AV99</f>
        <v>#DIV/0!</v>
      </c>
    </row>
    <row r="102" spans="33:48" ht="15.75" customHeight="1" x14ac:dyDescent="0.25">
      <c r="AG102" s="273" t="s">
        <v>78</v>
      </c>
      <c r="AH102" s="270" t="s">
        <v>18</v>
      </c>
      <c r="AI102" s="54" t="s">
        <v>27</v>
      </c>
      <c r="AJ102" s="166">
        <f>COUNTIFS(JOURNAL!F:F,"11",JOURNAL!L:L,"50-60",JOURNAL!O:O,"TP")</f>
        <v>0</v>
      </c>
      <c r="AK102" s="270" t="s">
        <v>19</v>
      </c>
      <c r="AL102" s="54" t="s">
        <v>27</v>
      </c>
      <c r="AM102" s="166">
        <f>COUNTIFS(JOURNAL!F:F,"11",JOURNAL!L:L,"60-70",JOURNAL!O:O,"TP")</f>
        <v>0</v>
      </c>
      <c r="AN102" s="270" t="s">
        <v>20</v>
      </c>
      <c r="AO102" s="54" t="s">
        <v>27</v>
      </c>
      <c r="AP102" s="166">
        <f>COUNTIFS(JOURNAL!F:F,"11",JOURNAL!L:L,"70-80",JOURNAL!O:O,"TP")</f>
        <v>0</v>
      </c>
      <c r="AQ102" s="270" t="s">
        <v>21</v>
      </c>
      <c r="AR102" s="54" t="s">
        <v>27</v>
      </c>
      <c r="AS102" s="166">
        <f>COUNTIFS(JOURNAL!F:F,"11",JOURNAL!L:L,"80-90",JOURNAL!O:O,"TP")</f>
        <v>0</v>
      </c>
      <c r="AT102" s="270" t="s">
        <v>59</v>
      </c>
      <c r="AU102" s="54" t="s">
        <v>27</v>
      </c>
      <c r="AV102" s="166">
        <f>COUNTIFS(JOURNAL!F:F,"11",JOURNAL!L:L,"90-100",JOURNAL!O:O,"TP")</f>
        <v>0</v>
      </c>
    </row>
    <row r="103" spans="33:48" ht="15.75" x14ac:dyDescent="0.25">
      <c r="AG103" s="273"/>
      <c r="AH103" s="271"/>
      <c r="AI103" s="55" t="s">
        <v>29</v>
      </c>
      <c r="AJ103" s="166">
        <f>COUNTIFS(JOURNAL!F:F,"11",JOURNAL!L:L,"50-60",JOURNAL!O:O,"SL")</f>
        <v>0</v>
      </c>
      <c r="AK103" s="271"/>
      <c r="AL103" s="55" t="s">
        <v>29</v>
      </c>
      <c r="AM103" s="166">
        <f>COUNTIFS(JOURNAL!F:F,"11",JOURNAL!L:L,"60-70",JOURNAL!O:O,"SL")</f>
        <v>0</v>
      </c>
      <c r="AN103" s="271"/>
      <c r="AO103" s="55" t="s">
        <v>29</v>
      </c>
      <c r="AP103" s="166">
        <f>COUNTIFS(JOURNAL!F:F,"11",JOURNAL!L:L,"70-80",JOURNAL!O:O,"SL")</f>
        <v>0</v>
      </c>
      <c r="AQ103" s="271"/>
      <c r="AR103" s="55" t="s">
        <v>29</v>
      </c>
      <c r="AS103" s="166">
        <f>COUNTIFS(JOURNAL!F:F,"11",JOURNAL!L:L,"80-90",JOURNAL!O:O,"SL")</f>
        <v>0</v>
      </c>
      <c r="AT103" s="271"/>
      <c r="AU103" s="55" t="s">
        <v>29</v>
      </c>
      <c r="AV103" s="166">
        <f>COUNTIFS(JOURNAL!F:F,"11",JOURNAL!L:L,"90-100",JOURNAL!O:O,"SL")</f>
        <v>0</v>
      </c>
    </row>
    <row r="104" spans="33:48" ht="15.75" x14ac:dyDescent="0.25">
      <c r="AG104" s="273"/>
      <c r="AH104" s="271"/>
      <c r="AI104" s="56" t="s">
        <v>32</v>
      </c>
      <c r="AJ104" s="166">
        <f>COUNTIFS(JOURNAL!F:F,"11",JOURNAL!L:L,"50-60",JOURNAL!O:O,"RF")</f>
        <v>0</v>
      </c>
      <c r="AK104" s="271"/>
      <c r="AL104" s="56" t="s">
        <v>32</v>
      </c>
      <c r="AM104" s="166">
        <f>COUNTIFS(JOURNAL!F:F,"11",JOURNAL!L:L,"60-70",JOURNAL!O:O,"RF")</f>
        <v>0</v>
      </c>
      <c r="AN104" s="271"/>
      <c r="AO104" s="56" t="s">
        <v>32</v>
      </c>
      <c r="AP104" s="166">
        <f>COUNTIFS(JOURNAL!F:F,"11",JOURNAL!L:L,"70-80",JOURNAL!O:O,"RF")</f>
        <v>0</v>
      </c>
      <c r="AQ104" s="271"/>
      <c r="AR104" s="56" t="s">
        <v>32</v>
      </c>
      <c r="AS104" s="166">
        <f>COUNTIFS(JOURNAL!F:F,"11",JOURNAL!L:L,"80-90",JOURNAL!O:O,"RF")</f>
        <v>0</v>
      </c>
      <c r="AT104" s="271"/>
      <c r="AU104" s="56" t="s">
        <v>32</v>
      </c>
      <c r="AV104" s="166">
        <f>COUNTIFS(JOURNAL!F:F,"11",JOURNAL!L:L,"90-100",JOURNAL!O:O,"RF")</f>
        <v>0</v>
      </c>
    </row>
    <row r="105" spans="33:48" ht="15.75" x14ac:dyDescent="0.25">
      <c r="AG105" s="273"/>
      <c r="AH105" s="271"/>
      <c r="AI105" s="57" t="s">
        <v>30</v>
      </c>
      <c r="AJ105" s="166">
        <f>COUNTIFS(JOURNAL!F:F,"11",JOURNAL!L:L,"50-60",JOURNAL!O:O,"PS")</f>
        <v>0</v>
      </c>
      <c r="AK105" s="271"/>
      <c r="AL105" s="57" t="s">
        <v>30</v>
      </c>
      <c r="AM105" s="166">
        <f>COUNTIFS(JOURNAL!F:F,"11",JOURNAL!L:L,"60-70",JOURNAL!O:O,"PS")</f>
        <v>0</v>
      </c>
      <c r="AN105" s="271"/>
      <c r="AO105" s="57" t="s">
        <v>30</v>
      </c>
      <c r="AP105" s="166">
        <f>COUNTIFS(JOURNAL!F:F,"11",JOURNAL!L:L,"70-80",JOURNAL!O:O,"PS")</f>
        <v>0</v>
      </c>
      <c r="AQ105" s="271"/>
      <c r="AR105" s="57" t="s">
        <v>30</v>
      </c>
      <c r="AS105" s="166">
        <f>COUNTIFS(JOURNAL!F:F,"11",JOURNAL!L:L,"80-90",JOURNAL!O:O,"PS")</f>
        <v>0</v>
      </c>
      <c r="AT105" s="271"/>
      <c r="AU105" s="57" t="s">
        <v>30</v>
      </c>
      <c r="AV105" s="166">
        <f>COUNTIFS(JOURNAL!F:F,"11",JOURNAL!L:L,"90-100",JOURNAL!O:O,"PS")</f>
        <v>0</v>
      </c>
    </row>
    <row r="106" spans="33:48" ht="15.75" x14ac:dyDescent="0.25">
      <c r="AG106" s="273"/>
      <c r="AH106" s="271"/>
      <c r="AI106" s="58" t="s">
        <v>31</v>
      </c>
      <c r="AJ106" s="166">
        <f>COUNTIFS(JOURNAL!F:F,"11",JOURNAL!L:L,"50-60",JOURNAL!O:O,"LS")</f>
        <v>0</v>
      </c>
      <c r="AK106" s="271"/>
      <c r="AL106" s="58" t="s">
        <v>31</v>
      </c>
      <c r="AM106" s="166">
        <f>COUNTIFS(JOURNAL!F:F,"11",JOURNAL!L:L,"60-70",JOURNAL!O:O,"LS")</f>
        <v>0</v>
      </c>
      <c r="AN106" s="271"/>
      <c r="AO106" s="58" t="s">
        <v>31</v>
      </c>
      <c r="AP106" s="166">
        <f>COUNTIFS(JOURNAL!F:F,"11",JOURNAL!L:L,"70-80",JOURNAL!O:O,"LS")</f>
        <v>0</v>
      </c>
      <c r="AQ106" s="271"/>
      <c r="AR106" s="58" t="s">
        <v>31</v>
      </c>
      <c r="AS106" s="166">
        <f>COUNTIFS(JOURNAL!F:F,"11",JOURNAL!L:L,"80-90",JOURNAL!O:O,"LS")</f>
        <v>0</v>
      </c>
      <c r="AT106" s="271"/>
      <c r="AU106" s="58" t="s">
        <v>31</v>
      </c>
      <c r="AV106" s="166">
        <f>COUNTIFS(JOURNAL!F:F,"11",JOURNAL!L:L,"90-100",JOURNAL!O:O,"LS")</f>
        <v>0</v>
      </c>
    </row>
    <row r="107" spans="33:48" ht="15.75" x14ac:dyDescent="0.25">
      <c r="AG107" s="273"/>
      <c r="AH107" s="271"/>
      <c r="AI107" s="59" t="s">
        <v>33</v>
      </c>
      <c r="AJ107" s="166">
        <f>COUNTIFS(JOURNAL!F:F,"11",JOURNAL!L:L,"50-60",JOURNAL!O:O,"OT +")</f>
        <v>0</v>
      </c>
      <c r="AK107" s="271"/>
      <c r="AL107" s="59" t="s">
        <v>33</v>
      </c>
      <c r="AM107" s="166">
        <f>COUNTIFS(JOURNAL!F:F,"11",JOURNAL!L:L,"60-70",JOURNAL!O:O,"OT +")</f>
        <v>0</v>
      </c>
      <c r="AN107" s="271"/>
      <c r="AO107" s="59" t="s">
        <v>33</v>
      </c>
      <c r="AP107" s="166">
        <f>COUNTIFS(JOURNAL!F:F,"11",JOURNAL!L:L,"70-80",JOURNAL!O:O,"OT +")</f>
        <v>0</v>
      </c>
      <c r="AQ107" s="271"/>
      <c r="AR107" s="59" t="s">
        <v>33</v>
      </c>
      <c r="AS107" s="166">
        <f>COUNTIFS(JOURNAL!F:F,"11",JOURNAL!L:L,"80-90",JOURNAL!O:O,"OT +")</f>
        <v>0</v>
      </c>
      <c r="AT107" s="271"/>
      <c r="AU107" s="59" t="s">
        <v>33</v>
      </c>
      <c r="AV107" s="166">
        <f>COUNTIFS(JOURNAL!F:F,"11",JOURNAL!L:L,"90-100",JOURNAL!O:O,"OT +")</f>
        <v>0</v>
      </c>
    </row>
    <row r="108" spans="33:48" ht="15.75" x14ac:dyDescent="0.25">
      <c r="AG108" s="273"/>
      <c r="AH108" s="271"/>
      <c r="AI108" s="60" t="s">
        <v>34</v>
      </c>
      <c r="AJ108" s="166">
        <f>COUNTIFS(JOURNAL!F:F,"11",JOURNAL!L:L,"50-60",JOURNAL!O:O,"OT -")</f>
        <v>0</v>
      </c>
      <c r="AK108" s="271"/>
      <c r="AL108" s="60" t="s">
        <v>34</v>
      </c>
      <c r="AM108" s="166">
        <f>COUNTIFS(JOURNAL!F:F,"11",JOURNAL!L:L,"60-70",JOURNAL!O:O,"OT -")</f>
        <v>0</v>
      </c>
      <c r="AN108" s="271"/>
      <c r="AO108" s="60" t="s">
        <v>34</v>
      </c>
      <c r="AP108" s="166">
        <f>COUNTIFS(JOURNAL!F:F,"11",JOURNAL!L:L,"70-80",JOURNAL!O:O,"OT -")</f>
        <v>0</v>
      </c>
      <c r="AQ108" s="271"/>
      <c r="AR108" s="60" t="s">
        <v>34</v>
      </c>
      <c r="AS108" s="166">
        <f>COUNTIFS(JOURNAL!F:F,"11",JOURNAL!L:L,"80-90",JOURNAL!O:O,"OT -")</f>
        <v>0</v>
      </c>
      <c r="AT108" s="271"/>
      <c r="AU108" s="60" t="s">
        <v>34</v>
      </c>
      <c r="AV108" s="166">
        <f>COUNTIFS(JOURNAL!F:F,"11",JOURNAL!L:L,"90-100",JOURNAL!O:O,"OT -")</f>
        <v>0</v>
      </c>
    </row>
    <row r="109" spans="33:48" ht="15.75" x14ac:dyDescent="0.25">
      <c r="AG109" s="273"/>
      <c r="AH109" s="271"/>
      <c r="AI109" s="25" t="s">
        <v>115</v>
      </c>
      <c r="AJ109" s="166">
        <f>SUM(AJ102:AJ108)</f>
        <v>0</v>
      </c>
      <c r="AK109" s="271"/>
      <c r="AL109" s="25" t="s">
        <v>115</v>
      </c>
      <c r="AM109" s="166">
        <f>SUM(AM102:AM108)</f>
        <v>0</v>
      </c>
      <c r="AN109" s="271"/>
      <c r="AO109" s="25" t="s">
        <v>115</v>
      </c>
      <c r="AP109" s="166">
        <f>SUM(AP102:AP108)</f>
        <v>0</v>
      </c>
      <c r="AQ109" s="271"/>
      <c r="AR109" s="25" t="s">
        <v>115</v>
      </c>
      <c r="AS109" s="166">
        <f>SUM(AS102:AS108)</f>
        <v>0</v>
      </c>
      <c r="AT109" s="271"/>
      <c r="AU109" s="25" t="s">
        <v>115</v>
      </c>
      <c r="AV109" s="166">
        <f>SUM(AV102:AV108)</f>
        <v>0</v>
      </c>
    </row>
    <row r="110" spans="33:48" ht="15.75" x14ac:dyDescent="0.25">
      <c r="AG110" s="273"/>
      <c r="AH110" s="272"/>
      <c r="AI110" s="29" t="s">
        <v>44</v>
      </c>
      <c r="AJ110" s="164" t="e">
        <f>SUM(AJ102,AJ104,AJ105,AJ107)/AJ109</f>
        <v>#DIV/0!</v>
      </c>
      <c r="AK110" s="272"/>
      <c r="AL110" s="29" t="s">
        <v>44</v>
      </c>
      <c r="AM110" s="164" t="e">
        <f>SUM(AM102,AM104,AM105,AM107)/AM109</f>
        <v>#DIV/0!</v>
      </c>
      <c r="AN110" s="272"/>
      <c r="AO110" s="29" t="s">
        <v>44</v>
      </c>
      <c r="AP110" s="164" t="e">
        <f>SUM(AP102,AP104,AP105,AP107)/AP109</f>
        <v>#DIV/0!</v>
      </c>
      <c r="AQ110" s="272"/>
      <c r="AR110" s="29" t="s">
        <v>44</v>
      </c>
      <c r="AS110" s="164" t="e">
        <f>SUM(AS102,AS104,AS105,AS107)/AS109</f>
        <v>#DIV/0!</v>
      </c>
      <c r="AT110" s="272"/>
      <c r="AU110" s="29" t="s">
        <v>44</v>
      </c>
      <c r="AV110" s="164" t="e">
        <f>SUM(AV102,AV104,AV105,AV107)/AV109</f>
        <v>#DIV/0!</v>
      </c>
    </row>
    <row r="112" spans="33:48" ht="15.75" customHeight="1" x14ac:dyDescent="0.25">
      <c r="AG112" s="273" t="s">
        <v>79</v>
      </c>
      <c r="AH112" s="270" t="s">
        <v>18</v>
      </c>
      <c r="AI112" s="54" t="s">
        <v>27</v>
      </c>
      <c r="AJ112" s="166">
        <f>COUNTIFS(JOURNAL!F:F,"12",JOURNAL!L:L,"50-60",JOURNAL!O:O,"TP")</f>
        <v>0</v>
      </c>
      <c r="AK112" s="270" t="s">
        <v>19</v>
      </c>
      <c r="AL112" s="54" t="s">
        <v>27</v>
      </c>
      <c r="AM112" s="166">
        <f>COUNTIFS(JOURNAL!F:F,"12",JOURNAL!L:L,"60-70",JOURNAL!O:O,"TP")</f>
        <v>0</v>
      </c>
      <c r="AN112" s="270" t="s">
        <v>20</v>
      </c>
      <c r="AO112" s="54" t="s">
        <v>27</v>
      </c>
      <c r="AP112" s="166">
        <f>COUNTIFS(JOURNAL!F:F,"12",JOURNAL!L:L,"70-80",JOURNAL!O:O,"TP")</f>
        <v>0</v>
      </c>
      <c r="AQ112" s="270" t="s">
        <v>21</v>
      </c>
      <c r="AR112" s="54" t="s">
        <v>27</v>
      </c>
      <c r="AS112" s="166">
        <f>COUNTIFS(JOURNAL!F:F,"12",JOURNAL!L:L,"80-90",JOURNAL!O:O,"TP")</f>
        <v>0</v>
      </c>
      <c r="AT112" s="270" t="s">
        <v>59</v>
      </c>
      <c r="AU112" s="54" t="s">
        <v>27</v>
      </c>
      <c r="AV112" s="166">
        <f>COUNTIFS(JOURNAL!F:F,"12",JOURNAL!L:L,"90-100",JOURNAL!O:O,"TP")</f>
        <v>0</v>
      </c>
    </row>
    <row r="113" spans="33:48" ht="15.75" x14ac:dyDescent="0.25">
      <c r="AG113" s="273"/>
      <c r="AH113" s="271"/>
      <c r="AI113" s="55" t="s">
        <v>29</v>
      </c>
      <c r="AJ113" s="166">
        <f>COUNTIFS(JOURNAL!F:F,"12",JOURNAL!L:L,"50-60",JOURNAL!O:O,"SL")</f>
        <v>0</v>
      </c>
      <c r="AK113" s="271"/>
      <c r="AL113" s="55" t="s">
        <v>29</v>
      </c>
      <c r="AM113" s="166">
        <f>COUNTIFS(JOURNAL!F:F,"12",JOURNAL!L:L,"60-70",JOURNAL!O:O,"SL")</f>
        <v>0</v>
      </c>
      <c r="AN113" s="271"/>
      <c r="AO113" s="55" t="s">
        <v>29</v>
      </c>
      <c r="AP113" s="166">
        <f>COUNTIFS(JOURNAL!F:F,"12",JOURNAL!L:L,"70-80",JOURNAL!O:O,"SL")</f>
        <v>0</v>
      </c>
      <c r="AQ113" s="271"/>
      <c r="AR113" s="55" t="s">
        <v>29</v>
      </c>
      <c r="AS113" s="166">
        <f>COUNTIFS(JOURNAL!F:F,"12",JOURNAL!L:L,"80-90",JOURNAL!O:O,"SL")</f>
        <v>0</v>
      </c>
      <c r="AT113" s="271"/>
      <c r="AU113" s="55" t="s">
        <v>29</v>
      </c>
      <c r="AV113" s="166">
        <f>COUNTIFS(JOURNAL!F:F,"12",JOURNAL!L:L,"90-100",JOURNAL!O:O,"SL")</f>
        <v>0</v>
      </c>
    </row>
    <row r="114" spans="33:48" ht="15.75" x14ac:dyDescent="0.25">
      <c r="AG114" s="273"/>
      <c r="AH114" s="271"/>
      <c r="AI114" s="56" t="s">
        <v>32</v>
      </c>
      <c r="AJ114" s="166">
        <f>COUNTIFS(JOURNAL!F:F,"12",JOURNAL!L:L,"50-60",JOURNAL!O:O,"RF")</f>
        <v>0</v>
      </c>
      <c r="AK114" s="271"/>
      <c r="AL114" s="56" t="s">
        <v>32</v>
      </c>
      <c r="AM114" s="166">
        <f>COUNTIFS(JOURNAL!F:F,"12",JOURNAL!L:L,"60-70",JOURNAL!O:O,"RF")</f>
        <v>0</v>
      </c>
      <c r="AN114" s="271"/>
      <c r="AO114" s="56" t="s">
        <v>32</v>
      </c>
      <c r="AP114" s="166">
        <f>COUNTIFS(JOURNAL!F:F,"12",JOURNAL!L:L,"70-80",JOURNAL!O:O,"RF")</f>
        <v>0</v>
      </c>
      <c r="AQ114" s="271"/>
      <c r="AR114" s="56" t="s">
        <v>32</v>
      </c>
      <c r="AS114" s="166">
        <f>COUNTIFS(JOURNAL!F:F,"12",JOURNAL!L:L,"80-90",JOURNAL!O:O,"RF")</f>
        <v>0</v>
      </c>
      <c r="AT114" s="271"/>
      <c r="AU114" s="56" t="s">
        <v>32</v>
      </c>
      <c r="AV114" s="166">
        <f>COUNTIFS(JOURNAL!F:F,"12",JOURNAL!L:L,"90-100",JOURNAL!O:O,"RF")</f>
        <v>0</v>
      </c>
    </row>
    <row r="115" spans="33:48" ht="15.75" x14ac:dyDescent="0.25">
      <c r="AG115" s="273"/>
      <c r="AH115" s="271"/>
      <c r="AI115" s="57" t="s">
        <v>30</v>
      </c>
      <c r="AJ115" s="166">
        <f>COUNTIFS(JOURNAL!F:F,"12",JOURNAL!L:L,"50-60",JOURNAL!O:O,"PS")</f>
        <v>0</v>
      </c>
      <c r="AK115" s="271"/>
      <c r="AL115" s="57" t="s">
        <v>30</v>
      </c>
      <c r="AM115" s="166">
        <f>COUNTIFS(JOURNAL!F:F,"12",JOURNAL!L:L,"60-70",JOURNAL!O:O,"PS")</f>
        <v>0</v>
      </c>
      <c r="AN115" s="271"/>
      <c r="AO115" s="57" t="s">
        <v>30</v>
      </c>
      <c r="AP115" s="166">
        <f>COUNTIFS(JOURNAL!F:F,"12",JOURNAL!L:L,"70-80",JOURNAL!O:O,"PS")</f>
        <v>0</v>
      </c>
      <c r="AQ115" s="271"/>
      <c r="AR115" s="57" t="s">
        <v>30</v>
      </c>
      <c r="AS115" s="166">
        <f>COUNTIFS(JOURNAL!F:F,"12",JOURNAL!L:L,"80-90",JOURNAL!O:O,"PS")</f>
        <v>0</v>
      </c>
      <c r="AT115" s="271"/>
      <c r="AU115" s="57" t="s">
        <v>30</v>
      </c>
      <c r="AV115" s="166">
        <f>COUNTIFS(JOURNAL!F:F,"12",JOURNAL!L:L,"90-100",JOURNAL!O:O,"PS")</f>
        <v>0</v>
      </c>
    </row>
    <row r="116" spans="33:48" ht="15.75" x14ac:dyDescent="0.25">
      <c r="AG116" s="273"/>
      <c r="AH116" s="271"/>
      <c r="AI116" s="58" t="s">
        <v>31</v>
      </c>
      <c r="AJ116" s="166">
        <f>COUNTIFS(JOURNAL!F:F,"12",JOURNAL!L:L,"50-60",JOURNAL!O:O,"LS")</f>
        <v>0</v>
      </c>
      <c r="AK116" s="271"/>
      <c r="AL116" s="58" t="s">
        <v>31</v>
      </c>
      <c r="AM116" s="166">
        <f>COUNTIFS(JOURNAL!F:F,"12",JOURNAL!L:L,"60-70",JOURNAL!O:O,"LS")</f>
        <v>0</v>
      </c>
      <c r="AN116" s="271"/>
      <c r="AO116" s="58" t="s">
        <v>31</v>
      </c>
      <c r="AP116" s="166">
        <f>COUNTIFS(JOURNAL!F:F,"12",JOURNAL!L:L,"70-80",JOURNAL!O:O,"LS")</f>
        <v>0</v>
      </c>
      <c r="AQ116" s="271"/>
      <c r="AR116" s="58" t="s">
        <v>31</v>
      </c>
      <c r="AS116" s="166">
        <f>COUNTIFS(JOURNAL!F:F,"12",JOURNAL!L:L,"80-90",JOURNAL!O:O,"LS")</f>
        <v>0</v>
      </c>
      <c r="AT116" s="271"/>
      <c r="AU116" s="58" t="s">
        <v>31</v>
      </c>
      <c r="AV116" s="166">
        <f>COUNTIFS(JOURNAL!F:F,"12",JOURNAL!L:L,"90-100",JOURNAL!O:O,"LS")</f>
        <v>0</v>
      </c>
    </row>
    <row r="117" spans="33:48" ht="15.75" x14ac:dyDescent="0.25">
      <c r="AG117" s="273"/>
      <c r="AH117" s="271"/>
      <c r="AI117" s="59" t="s">
        <v>33</v>
      </c>
      <c r="AJ117" s="166">
        <f>COUNTIFS(JOURNAL!F:F,"12",JOURNAL!L:L,"50-60",JOURNAL!O:O,"OT +")</f>
        <v>0</v>
      </c>
      <c r="AK117" s="271"/>
      <c r="AL117" s="59" t="s">
        <v>33</v>
      </c>
      <c r="AM117" s="166">
        <f>COUNTIFS(JOURNAL!F:F,"12",JOURNAL!L:L,"60-70",JOURNAL!O:O,"OT +")</f>
        <v>0</v>
      </c>
      <c r="AN117" s="271"/>
      <c r="AO117" s="59" t="s">
        <v>33</v>
      </c>
      <c r="AP117" s="166">
        <f>COUNTIFS(JOURNAL!F:F,"12",JOURNAL!L:L,"70-80",JOURNAL!O:O,"OT +")</f>
        <v>0</v>
      </c>
      <c r="AQ117" s="271"/>
      <c r="AR117" s="59" t="s">
        <v>33</v>
      </c>
      <c r="AS117" s="166">
        <f>COUNTIFS(JOURNAL!F:F,"12",JOURNAL!L:L,"80-90",JOURNAL!O:O,"OT +")</f>
        <v>0</v>
      </c>
      <c r="AT117" s="271"/>
      <c r="AU117" s="59" t="s">
        <v>33</v>
      </c>
      <c r="AV117" s="166">
        <f>COUNTIFS(JOURNAL!F:F,"12",JOURNAL!L:L,"90-100",JOURNAL!O:O,"OT +")</f>
        <v>0</v>
      </c>
    </row>
    <row r="118" spans="33:48" ht="15.75" x14ac:dyDescent="0.25">
      <c r="AG118" s="273"/>
      <c r="AH118" s="271"/>
      <c r="AI118" s="60" t="s">
        <v>34</v>
      </c>
      <c r="AJ118" s="166">
        <f>COUNTIFS(JOURNAL!F:F,"12",JOURNAL!L:L,"50-60",JOURNAL!O:O,"OT -")</f>
        <v>0</v>
      </c>
      <c r="AK118" s="271"/>
      <c r="AL118" s="60" t="s">
        <v>34</v>
      </c>
      <c r="AM118" s="166">
        <f>COUNTIFS(JOURNAL!F:F,"12",JOURNAL!L:L,"60-70",JOURNAL!O:O,"OT -")</f>
        <v>0</v>
      </c>
      <c r="AN118" s="271"/>
      <c r="AO118" s="60" t="s">
        <v>34</v>
      </c>
      <c r="AP118" s="166">
        <f>COUNTIFS(JOURNAL!F:F,"12",JOURNAL!L:L,"70-80",JOURNAL!O:O,"OT -")</f>
        <v>0</v>
      </c>
      <c r="AQ118" s="271"/>
      <c r="AR118" s="60" t="s">
        <v>34</v>
      </c>
      <c r="AS118" s="166">
        <f>COUNTIFS(JOURNAL!F:F,"12",JOURNAL!L:L,"80-90",JOURNAL!O:O,"OT -")</f>
        <v>0</v>
      </c>
      <c r="AT118" s="271"/>
      <c r="AU118" s="60" t="s">
        <v>34</v>
      </c>
      <c r="AV118" s="166">
        <f>COUNTIFS(JOURNAL!F:F,"12",JOURNAL!L:L,"90-100",JOURNAL!O:O,"OT -")</f>
        <v>0</v>
      </c>
    </row>
    <row r="119" spans="33:48" ht="15.75" x14ac:dyDescent="0.25">
      <c r="AG119" s="273"/>
      <c r="AH119" s="271"/>
      <c r="AI119" s="25" t="s">
        <v>115</v>
      </c>
      <c r="AJ119" s="166">
        <f>SUM(AJ112:AJ118)</f>
        <v>0</v>
      </c>
      <c r="AK119" s="271"/>
      <c r="AL119" s="25" t="s">
        <v>115</v>
      </c>
      <c r="AM119" s="166">
        <f>SUM(AM112:AM118)</f>
        <v>0</v>
      </c>
      <c r="AN119" s="271"/>
      <c r="AO119" s="25" t="s">
        <v>115</v>
      </c>
      <c r="AP119" s="166">
        <f>SUM(AP112:AP118)</f>
        <v>0</v>
      </c>
      <c r="AQ119" s="271"/>
      <c r="AR119" s="25" t="s">
        <v>115</v>
      </c>
      <c r="AS119" s="166">
        <f>SUM(AS112:AS118)</f>
        <v>0</v>
      </c>
      <c r="AT119" s="271"/>
      <c r="AU119" s="25" t="s">
        <v>115</v>
      </c>
      <c r="AV119" s="166">
        <f>SUM(AV112:AV118)</f>
        <v>0</v>
      </c>
    </row>
    <row r="120" spans="33:48" ht="15.75" x14ac:dyDescent="0.25">
      <c r="AG120" s="273"/>
      <c r="AH120" s="272"/>
      <c r="AI120" s="29" t="s">
        <v>44</v>
      </c>
      <c r="AJ120" s="164" t="e">
        <f>SUM(AJ112,AJ114,AJ115,AJ117)/AJ119</f>
        <v>#DIV/0!</v>
      </c>
      <c r="AK120" s="272"/>
      <c r="AL120" s="29" t="s">
        <v>44</v>
      </c>
      <c r="AM120" s="164" t="e">
        <f>SUM(AM112,AM114,AM115,AM117)/AM119</f>
        <v>#DIV/0!</v>
      </c>
      <c r="AN120" s="272"/>
      <c r="AO120" s="29" t="s">
        <v>44</v>
      </c>
      <c r="AP120" s="164" t="e">
        <f>SUM(AP112,AP114,AP115,AP117)/AP119</f>
        <v>#DIV/0!</v>
      </c>
      <c r="AQ120" s="272"/>
      <c r="AR120" s="29" t="s">
        <v>44</v>
      </c>
      <c r="AS120" s="164" t="e">
        <f>SUM(AS112,AS114,AS115,AS117)/AS119</f>
        <v>#DIV/0!</v>
      </c>
      <c r="AT120" s="272"/>
      <c r="AU120" s="29" t="s">
        <v>44</v>
      </c>
      <c r="AV120" s="164" t="e">
        <f>SUM(AV112,AV114,AV115,AV117)/AV119</f>
        <v>#DIV/0!</v>
      </c>
    </row>
  </sheetData>
  <sheetProtection algorithmName="SHA-512" hashValue="94M4WJ6DK5bYP+TNd1/XiXBTI9bAY2dPT0Ibm94JxMxSiJgIrtsT8SwK9KiA1wlDmix4a6xDqRljP1SBlRNX2A==" saltValue="vloK0pbiqUip6e88+oOxgg==" spinCount="100000" sheet="1" objects="1" scenarios="1"/>
  <mergeCells count="92">
    <mergeCell ref="AT112:AT120"/>
    <mergeCell ref="AT102:AT110"/>
    <mergeCell ref="AG102:AG110"/>
    <mergeCell ref="AH102:AH110"/>
    <mergeCell ref="AK102:AK110"/>
    <mergeCell ref="AN102:AN110"/>
    <mergeCell ref="AQ102:AQ110"/>
    <mergeCell ref="AG112:AG120"/>
    <mergeCell ref="AH112:AH120"/>
    <mergeCell ref="AK112:AK120"/>
    <mergeCell ref="AN112:AN120"/>
    <mergeCell ref="AQ112:AQ120"/>
    <mergeCell ref="AT92:AT100"/>
    <mergeCell ref="AT82:AT90"/>
    <mergeCell ref="AG82:AG90"/>
    <mergeCell ref="AH82:AH90"/>
    <mergeCell ref="AK82:AK90"/>
    <mergeCell ref="AN82:AN90"/>
    <mergeCell ref="AQ82:AQ90"/>
    <mergeCell ref="AG92:AG100"/>
    <mergeCell ref="AH92:AH100"/>
    <mergeCell ref="AK92:AK100"/>
    <mergeCell ref="AN92:AN100"/>
    <mergeCell ref="AQ92:AQ100"/>
    <mergeCell ref="AT72:AT80"/>
    <mergeCell ref="AT62:AT70"/>
    <mergeCell ref="AG62:AG70"/>
    <mergeCell ref="AH62:AH70"/>
    <mergeCell ref="AK62:AK70"/>
    <mergeCell ref="AN62:AN70"/>
    <mergeCell ref="AQ62:AQ70"/>
    <mergeCell ref="AG72:AG80"/>
    <mergeCell ref="AH72:AH80"/>
    <mergeCell ref="AK72:AK80"/>
    <mergeCell ref="AN72:AN80"/>
    <mergeCell ref="AQ72:AQ80"/>
    <mergeCell ref="AT52:AT60"/>
    <mergeCell ref="AT42:AT50"/>
    <mergeCell ref="AG42:AG50"/>
    <mergeCell ref="AH42:AH50"/>
    <mergeCell ref="AK42:AK50"/>
    <mergeCell ref="AN42:AN50"/>
    <mergeCell ref="AQ42:AQ50"/>
    <mergeCell ref="AG52:AG60"/>
    <mergeCell ref="AH52:AH60"/>
    <mergeCell ref="AK52:AK60"/>
    <mergeCell ref="AN52:AN60"/>
    <mergeCell ref="AQ52:AQ60"/>
    <mergeCell ref="AT32:AT40"/>
    <mergeCell ref="AT22:AT30"/>
    <mergeCell ref="AG22:AG30"/>
    <mergeCell ref="AH22:AH30"/>
    <mergeCell ref="AK22:AK30"/>
    <mergeCell ref="AN22:AN30"/>
    <mergeCell ref="AQ22:AQ30"/>
    <mergeCell ref="AG32:AG40"/>
    <mergeCell ref="AH32:AH40"/>
    <mergeCell ref="AK32:AK40"/>
    <mergeCell ref="AN32:AN40"/>
    <mergeCell ref="AQ32:AQ40"/>
    <mergeCell ref="AT12:AT20"/>
    <mergeCell ref="AT2:AT10"/>
    <mergeCell ref="AG2:AG10"/>
    <mergeCell ref="AH2:AH10"/>
    <mergeCell ref="AK2:AK10"/>
    <mergeCell ref="AN2:AN10"/>
    <mergeCell ref="AQ2:AQ10"/>
    <mergeCell ref="AG12:AG20"/>
    <mergeCell ref="AH12:AH20"/>
    <mergeCell ref="AK12:AK20"/>
    <mergeCell ref="AN12:AN20"/>
    <mergeCell ref="AQ12:AQ20"/>
    <mergeCell ref="B31:B36"/>
    <mergeCell ref="H28:L28"/>
    <mergeCell ref="H29:H30"/>
    <mergeCell ref="I29:J30"/>
    <mergeCell ref="H31:H36"/>
    <mergeCell ref="B29:B30"/>
    <mergeCell ref="C29:D30"/>
    <mergeCell ref="N2:R2"/>
    <mergeCell ref="N3:N4"/>
    <mergeCell ref="O3:P4"/>
    <mergeCell ref="N5:N10"/>
    <mergeCell ref="B28:F28"/>
    <mergeCell ref="B2:F2"/>
    <mergeCell ref="B3:B4"/>
    <mergeCell ref="C3:D4"/>
    <mergeCell ref="B5:B10"/>
    <mergeCell ref="H2:L2"/>
    <mergeCell ref="H3:H4"/>
    <mergeCell ref="I3:J4"/>
    <mergeCell ref="H5:H10"/>
  </mergeCells>
  <conditionalFormatting sqref="F10">
    <cfRule type="cellIs" dxfId="256" priority="630" operator="lessThan">
      <formula>0</formula>
    </cfRule>
    <cfRule type="cellIs" dxfId="255" priority="631" operator="greaterThan">
      <formula>0</formula>
    </cfRule>
    <cfRule type="cellIs" dxfId="254" priority="632" operator="equal">
      <formula>0</formula>
    </cfRule>
    <cfRule type="cellIs" dxfId="253" priority="633" operator="equal">
      <formula>0</formula>
    </cfRule>
    <cfRule type="cellIs" dxfId="252" priority="634" operator="equal">
      <formula>0</formula>
    </cfRule>
  </conditionalFormatting>
  <conditionalFormatting sqref="L10">
    <cfRule type="cellIs" dxfId="251" priority="622" operator="lessThan">
      <formula>0</formula>
    </cfRule>
    <cfRule type="cellIs" dxfId="250" priority="623" operator="greaterThan">
      <formula>0</formula>
    </cfRule>
    <cfRule type="cellIs" dxfId="249" priority="624" operator="equal">
      <formula>0</formula>
    </cfRule>
    <cfRule type="cellIs" dxfId="248" priority="625" operator="equal">
      <formula>0</formula>
    </cfRule>
    <cfRule type="cellIs" dxfId="247" priority="626" operator="equal">
      <formula>0</formula>
    </cfRule>
  </conditionalFormatting>
  <conditionalFormatting sqref="R10">
    <cfRule type="cellIs" dxfId="246" priority="614" operator="lessThan">
      <formula>0</formula>
    </cfRule>
    <cfRule type="cellIs" dxfId="245" priority="615" operator="greaterThan">
      <formula>0</formula>
    </cfRule>
    <cfRule type="cellIs" dxfId="244" priority="616" operator="equal">
      <formula>0</formula>
    </cfRule>
    <cfRule type="cellIs" dxfId="243" priority="617" operator="equal">
      <formula>0</formula>
    </cfRule>
    <cfRule type="cellIs" dxfId="242" priority="618" operator="equal">
      <formula>0</formula>
    </cfRule>
  </conditionalFormatting>
  <conditionalFormatting sqref="F36">
    <cfRule type="cellIs" dxfId="241" priority="606" operator="lessThan">
      <formula>0</formula>
    </cfRule>
    <cfRule type="cellIs" dxfId="240" priority="607" operator="greaterThan">
      <formula>0</formula>
    </cfRule>
    <cfRule type="cellIs" dxfId="239" priority="608" operator="equal">
      <formula>0</formula>
    </cfRule>
    <cfRule type="cellIs" dxfId="238" priority="609" operator="equal">
      <formula>0</formula>
    </cfRule>
    <cfRule type="cellIs" dxfId="237" priority="610" operator="equal">
      <formula>0</formula>
    </cfRule>
  </conditionalFormatting>
  <conditionalFormatting sqref="L36">
    <cfRule type="cellIs" dxfId="236" priority="598" operator="lessThan">
      <formula>0</formula>
    </cfRule>
    <cfRule type="cellIs" dxfId="235" priority="599" operator="greaterThan">
      <formula>0</formula>
    </cfRule>
    <cfRule type="cellIs" dxfId="234" priority="600" operator="equal">
      <formula>0</formula>
    </cfRule>
    <cfRule type="cellIs" dxfId="233" priority="601" operator="equal">
      <formula>0</formula>
    </cfRule>
    <cfRule type="cellIs" dxfId="232" priority="602" operator="equal">
      <formula>0</formula>
    </cfRule>
  </conditionalFormatting>
  <conditionalFormatting sqref="D10">
    <cfRule type="cellIs" dxfId="231" priority="586" operator="lessThan">
      <formula>0</formula>
    </cfRule>
    <cfRule type="cellIs" dxfId="230" priority="587" operator="greaterThan">
      <formula>0</formula>
    </cfRule>
    <cfRule type="cellIs" dxfId="229" priority="588" operator="equal">
      <formula>0</formula>
    </cfRule>
  </conditionalFormatting>
  <conditionalFormatting sqref="J10">
    <cfRule type="cellIs" dxfId="228" priority="583" operator="lessThan">
      <formula>0</formula>
    </cfRule>
    <cfRule type="cellIs" dxfId="227" priority="584" operator="greaterThan">
      <formula>0</formula>
    </cfRule>
    <cfRule type="cellIs" dxfId="226" priority="585" operator="equal">
      <formula>0</formula>
    </cfRule>
  </conditionalFormatting>
  <conditionalFormatting sqref="P10">
    <cfRule type="cellIs" dxfId="225" priority="580" operator="lessThan">
      <formula>0</formula>
    </cfRule>
    <cfRule type="cellIs" dxfId="224" priority="581" operator="greaterThan">
      <formula>0</formula>
    </cfRule>
    <cfRule type="cellIs" dxfId="223" priority="582" operator="equal">
      <formula>0</formula>
    </cfRule>
  </conditionalFormatting>
  <conditionalFormatting sqref="D36">
    <cfRule type="cellIs" dxfId="222" priority="577" operator="lessThan">
      <formula>0</formula>
    </cfRule>
    <cfRule type="cellIs" dxfId="221" priority="578" operator="greaterThan">
      <formula>0</formula>
    </cfRule>
    <cfRule type="cellIs" dxfId="220" priority="579" operator="equal">
      <formula>0</formula>
    </cfRule>
  </conditionalFormatting>
  <conditionalFormatting sqref="J36">
    <cfRule type="cellIs" dxfId="219" priority="574" operator="lessThan">
      <formula>0</formula>
    </cfRule>
    <cfRule type="cellIs" dxfId="218" priority="575" operator="greaterThan">
      <formula>0</formula>
    </cfRule>
    <cfRule type="cellIs" dxfId="217" priority="576" operator="equal">
      <formula>0</formula>
    </cfRule>
  </conditionalFormatting>
  <conditionalFormatting sqref="AJ10">
    <cfRule type="cellIs" dxfId="216" priority="571" operator="lessThan">
      <formula>0</formula>
    </cfRule>
    <cfRule type="cellIs" dxfId="215" priority="572" operator="greaterThan">
      <formula>0</formula>
    </cfRule>
    <cfRule type="cellIs" dxfId="214" priority="573" operator="equal">
      <formula>0</formula>
    </cfRule>
  </conditionalFormatting>
  <conditionalFormatting sqref="AM10">
    <cfRule type="cellIs" dxfId="213" priority="175" operator="lessThan">
      <formula>0</formula>
    </cfRule>
    <cfRule type="cellIs" dxfId="212" priority="176" operator="greaterThan">
      <formula>0</formula>
    </cfRule>
    <cfRule type="cellIs" dxfId="211" priority="177" operator="equal">
      <formula>0</formula>
    </cfRule>
  </conditionalFormatting>
  <conditionalFormatting sqref="AP10">
    <cfRule type="cellIs" dxfId="210" priority="172" operator="lessThan">
      <formula>0</formula>
    </cfRule>
    <cfRule type="cellIs" dxfId="209" priority="173" operator="greaterThan">
      <formula>0</formula>
    </cfRule>
    <cfRule type="cellIs" dxfId="208" priority="174" operator="equal">
      <formula>0</formula>
    </cfRule>
  </conditionalFormatting>
  <conditionalFormatting sqref="AS10">
    <cfRule type="cellIs" dxfId="207" priority="169" operator="lessThan">
      <formula>0</formula>
    </cfRule>
    <cfRule type="cellIs" dxfId="206" priority="170" operator="greaterThan">
      <formula>0</formula>
    </cfRule>
    <cfRule type="cellIs" dxfId="205" priority="171" operator="equal">
      <formula>0</formula>
    </cfRule>
  </conditionalFormatting>
  <conditionalFormatting sqref="AV10">
    <cfRule type="cellIs" dxfId="204" priority="166" operator="lessThan">
      <formula>0</formula>
    </cfRule>
    <cfRule type="cellIs" dxfId="203" priority="167" operator="greaterThan">
      <formula>0</formula>
    </cfRule>
    <cfRule type="cellIs" dxfId="202" priority="168" operator="equal">
      <formula>0</formula>
    </cfRule>
  </conditionalFormatting>
  <conditionalFormatting sqref="AJ20">
    <cfRule type="cellIs" dxfId="201" priority="163" operator="lessThan">
      <formula>0</formula>
    </cfRule>
    <cfRule type="cellIs" dxfId="200" priority="164" operator="greaterThan">
      <formula>0</formula>
    </cfRule>
    <cfRule type="cellIs" dxfId="199" priority="165" operator="equal">
      <formula>0</formula>
    </cfRule>
  </conditionalFormatting>
  <conditionalFormatting sqref="AM20">
    <cfRule type="cellIs" dxfId="198" priority="160" operator="lessThan">
      <formula>0</formula>
    </cfRule>
    <cfRule type="cellIs" dxfId="197" priority="161" operator="greaterThan">
      <formula>0</formula>
    </cfRule>
    <cfRule type="cellIs" dxfId="196" priority="162" operator="equal">
      <formula>0</formula>
    </cfRule>
  </conditionalFormatting>
  <conditionalFormatting sqref="AP20">
    <cfRule type="cellIs" dxfId="195" priority="157" operator="lessThan">
      <formula>0</formula>
    </cfRule>
    <cfRule type="cellIs" dxfId="194" priority="158" operator="greaterThan">
      <formula>0</formula>
    </cfRule>
    <cfRule type="cellIs" dxfId="193" priority="159" operator="equal">
      <formula>0</formula>
    </cfRule>
  </conditionalFormatting>
  <conditionalFormatting sqref="AS20">
    <cfRule type="cellIs" dxfId="192" priority="154" operator="lessThan">
      <formula>0</formula>
    </cfRule>
    <cfRule type="cellIs" dxfId="191" priority="155" operator="greaterThan">
      <formula>0</formula>
    </cfRule>
    <cfRule type="cellIs" dxfId="190" priority="156" operator="equal">
      <formula>0</formula>
    </cfRule>
  </conditionalFormatting>
  <conditionalFormatting sqref="AV20">
    <cfRule type="cellIs" dxfId="189" priority="151" operator="lessThan">
      <formula>0</formula>
    </cfRule>
    <cfRule type="cellIs" dxfId="188" priority="152" operator="greaterThan">
      <formula>0</formula>
    </cfRule>
    <cfRule type="cellIs" dxfId="187" priority="153" operator="equal">
      <formula>0</formula>
    </cfRule>
  </conditionalFormatting>
  <conditionalFormatting sqref="AJ30">
    <cfRule type="cellIs" dxfId="186" priority="148" operator="lessThan">
      <formula>0</formula>
    </cfRule>
    <cfRule type="cellIs" dxfId="185" priority="149" operator="greaterThan">
      <formula>0</formula>
    </cfRule>
    <cfRule type="cellIs" dxfId="184" priority="150" operator="equal">
      <formula>0</formula>
    </cfRule>
  </conditionalFormatting>
  <conditionalFormatting sqref="AM30">
    <cfRule type="cellIs" dxfId="183" priority="145" operator="lessThan">
      <formula>0</formula>
    </cfRule>
    <cfRule type="cellIs" dxfId="182" priority="146" operator="greaterThan">
      <formula>0</formula>
    </cfRule>
    <cfRule type="cellIs" dxfId="181" priority="147" operator="equal">
      <formula>0</formula>
    </cfRule>
  </conditionalFormatting>
  <conditionalFormatting sqref="AP30">
    <cfRule type="cellIs" dxfId="180" priority="142" operator="lessThan">
      <formula>0</formula>
    </cfRule>
    <cfRule type="cellIs" dxfId="179" priority="143" operator="greaterThan">
      <formula>0</formula>
    </cfRule>
    <cfRule type="cellIs" dxfId="178" priority="144" operator="equal">
      <formula>0</formula>
    </cfRule>
  </conditionalFormatting>
  <conditionalFormatting sqref="AS30">
    <cfRule type="cellIs" dxfId="177" priority="139" operator="lessThan">
      <formula>0</formula>
    </cfRule>
    <cfRule type="cellIs" dxfId="176" priority="140" operator="greaterThan">
      <formula>0</formula>
    </cfRule>
    <cfRule type="cellIs" dxfId="175" priority="141" operator="equal">
      <formula>0</formula>
    </cfRule>
  </conditionalFormatting>
  <conditionalFormatting sqref="AV30">
    <cfRule type="cellIs" dxfId="174" priority="136" operator="lessThan">
      <formula>0</formula>
    </cfRule>
    <cfRule type="cellIs" dxfId="173" priority="137" operator="greaterThan">
      <formula>0</formula>
    </cfRule>
    <cfRule type="cellIs" dxfId="172" priority="138" operator="equal">
      <formula>0</formula>
    </cfRule>
  </conditionalFormatting>
  <conditionalFormatting sqref="AJ40">
    <cfRule type="cellIs" dxfId="171" priority="133" operator="lessThan">
      <formula>0</formula>
    </cfRule>
    <cfRule type="cellIs" dxfId="170" priority="134" operator="greaterThan">
      <formula>0</formula>
    </cfRule>
    <cfRule type="cellIs" dxfId="169" priority="135" operator="equal">
      <formula>0</formula>
    </cfRule>
  </conditionalFormatting>
  <conditionalFormatting sqref="AM40">
    <cfRule type="cellIs" dxfId="168" priority="130" operator="lessThan">
      <formula>0</formula>
    </cfRule>
    <cfRule type="cellIs" dxfId="167" priority="131" operator="greaterThan">
      <formula>0</formula>
    </cfRule>
    <cfRule type="cellIs" dxfId="166" priority="132" operator="equal">
      <formula>0</formula>
    </cfRule>
  </conditionalFormatting>
  <conditionalFormatting sqref="AP40">
    <cfRule type="cellIs" dxfId="165" priority="127" operator="lessThan">
      <formula>0</formula>
    </cfRule>
    <cfRule type="cellIs" dxfId="164" priority="128" operator="greaterThan">
      <formula>0</formula>
    </cfRule>
    <cfRule type="cellIs" dxfId="163" priority="129" operator="equal">
      <formula>0</formula>
    </cfRule>
  </conditionalFormatting>
  <conditionalFormatting sqref="AS40">
    <cfRule type="cellIs" dxfId="162" priority="124" operator="lessThan">
      <formula>0</formula>
    </cfRule>
    <cfRule type="cellIs" dxfId="161" priority="125" operator="greaterThan">
      <formula>0</formula>
    </cfRule>
    <cfRule type="cellIs" dxfId="160" priority="126" operator="equal">
      <formula>0</formula>
    </cfRule>
  </conditionalFormatting>
  <conditionalFormatting sqref="AV40">
    <cfRule type="cellIs" dxfId="159" priority="121" operator="lessThan">
      <formula>0</formula>
    </cfRule>
    <cfRule type="cellIs" dxfId="158" priority="122" operator="greaterThan">
      <formula>0</formula>
    </cfRule>
    <cfRule type="cellIs" dxfId="157" priority="123" operator="equal">
      <formula>0</formula>
    </cfRule>
  </conditionalFormatting>
  <conditionalFormatting sqref="AV110">
    <cfRule type="cellIs" dxfId="156" priority="16" operator="lessThan">
      <formula>0</formula>
    </cfRule>
    <cfRule type="cellIs" dxfId="155" priority="17" operator="greaterThan">
      <formula>0</formula>
    </cfRule>
    <cfRule type="cellIs" dxfId="154" priority="18" operator="equal">
      <formula>0</formula>
    </cfRule>
  </conditionalFormatting>
  <conditionalFormatting sqref="AJ50">
    <cfRule type="cellIs" dxfId="153" priority="118" operator="lessThan">
      <formula>0</formula>
    </cfRule>
    <cfRule type="cellIs" dxfId="152" priority="119" operator="greaterThan">
      <formula>0</formula>
    </cfRule>
    <cfRule type="cellIs" dxfId="151" priority="120" operator="equal">
      <formula>0</formula>
    </cfRule>
  </conditionalFormatting>
  <conditionalFormatting sqref="AM50">
    <cfRule type="cellIs" dxfId="150" priority="115" operator="lessThan">
      <formula>0</formula>
    </cfRule>
    <cfRule type="cellIs" dxfId="149" priority="116" operator="greaterThan">
      <formula>0</formula>
    </cfRule>
    <cfRule type="cellIs" dxfId="148" priority="117" operator="equal">
      <formula>0</formula>
    </cfRule>
  </conditionalFormatting>
  <conditionalFormatting sqref="AP50">
    <cfRule type="cellIs" dxfId="147" priority="112" operator="lessThan">
      <formula>0</formula>
    </cfRule>
    <cfRule type="cellIs" dxfId="146" priority="113" operator="greaterThan">
      <formula>0</formula>
    </cfRule>
    <cfRule type="cellIs" dxfId="145" priority="114" operator="equal">
      <formula>0</formula>
    </cfRule>
  </conditionalFormatting>
  <conditionalFormatting sqref="AS50">
    <cfRule type="cellIs" dxfId="144" priority="109" operator="lessThan">
      <formula>0</formula>
    </cfRule>
    <cfRule type="cellIs" dxfId="143" priority="110" operator="greaterThan">
      <formula>0</formula>
    </cfRule>
    <cfRule type="cellIs" dxfId="142" priority="111" operator="equal">
      <formula>0</formula>
    </cfRule>
  </conditionalFormatting>
  <conditionalFormatting sqref="AV50">
    <cfRule type="cellIs" dxfId="141" priority="106" operator="lessThan">
      <formula>0</formula>
    </cfRule>
    <cfRule type="cellIs" dxfId="140" priority="107" operator="greaterThan">
      <formula>0</formula>
    </cfRule>
    <cfRule type="cellIs" dxfId="139" priority="108" operator="equal">
      <formula>0</formula>
    </cfRule>
  </conditionalFormatting>
  <conditionalFormatting sqref="AJ60">
    <cfRule type="cellIs" dxfId="138" priority="103" operator="lessThan">
      <formula>0</formula>
    </cfRule>
    <cfRule type="cellIs" dxfId="137" priority="104" operator="greaterThan">
      <formula>0</formula>
    </cfRule>
    <cfRule type="cellIs" dxfId="136" priority="105" operator="equal">
      <formula>0</formula>
    </cfRule>
  </conditionalFormatting>
  <conditionalFormatting sqref="AM60">
    <cfRule type="cellIs" dxfId="135" priority="100" operator="lessThan">
      <formula>0</formula>
    </cfRule>
    <cfRule type="cellIs" dxfId="134" priority="101" operator="greaterThan">
      <formula>0</formula>
    </cfRule>
    <cfRule type="cellIs" dxfId="133" priority="102" operator="equal">
      <formula>0</formula>
    </cfRule>
  </conditionalFormatting>
  <conditionalFormatting sqref="AP60">
    <cfRule type="cellIs" dxfId="132" priority="97" operator="lessThan">
      <formula>0</formula>
    </cfRule>
    <cfRule type="cellIs" dxfId="131" priority="98" operator="greaterThan">
      <formula>0</formula>
    </cfRule>
    <cfRule type="cellIs" dxfId="130" priority="99" operator="equal">
      <formula>0</formula>
    </cfRule>
  </conditionalFormatting>
  <conditionalFormatting sqref="AS60">
    <cfRule type="cellIs" dxfId="129" priority="94" operator="lessThan">
      <formula>0</formula>
    </cfRule>
    <cfRule type="cellIs" dxfId="128" priority="95" operator="greaterThan">
      <formula>0</formula>
    </cfRule>
    <cfRule type="cellIs" dxfId="127" priority="96" operator="equal">
      <formula>0</formula>
    </cfRule>
  </conditionalFormatting>
  <conditionalFormatting sqref="AV60">
    <cfRule type="cellIs" dxfId="126" priority="91" operator="lessThan">
      <formula>0</formula>
    </cfRule>
    <cfRule type="cellIs" dxfId="125" priority="92" operator="greaterThan">
      <formula>0</formula>
    </cfRule>
    <cfRule type="cellIs" dxfId="124" priority="93" operator="equal">
      <formula>0</formula>
    </cfRule>
  </conditionalFormatting>
  <conditionalFormatting sqref="AJ70">
    <cfRule type="cellIs" dxfId="123" priority="88" operator="lessThan">
      <formula>0</formula>
    </cfRule>
    <cfRule type="cellIs" dxfId="122" priority="89" operator="greaterThan">
      <formula>0</formula>
    </cfRule>
    <cfRule type="cellIs" dxfId="121" priority="90" operator="equal">
      <formula>0</formula>
    </cfRule>
  </conditionalFormatting>
  <conditionalFormatting sqref="AM70">
    <cfRule type="cellIs" dxfId="120" priority="85" operator="lessThan">
      <formula>0</formula>
    </cfRule>
    <cfRule type="cellIs" dxfId="119" priority="86" operator="greaterThan">
      <formula>0</formula>
    </cfRule>
    <cfRule type="cellIs" dxfId="118" priority="87" operator="equal">
      <formula>0</formula>
    </cfRule>
  </conditionalFormatting>
  <conditionalFormatting sqref="AP70">
    <cfRule type="cellIs" dxfId="117" priority="82" operator="lessThan">
      <formula>0</formula>
    </cfRule>
    <cfRule type="cellIs" dxfId="116" priority="83" operator="greaterThan">
      <formula>0</formula>
    </cfRule>
    <cfRule type="cellIs" dxfId="115" priority="84" operator="equal">
      <formula>0</formula>
    </cfRule>
  </conditionalFormatting>
  <conditionalFormatting sqref="AS70">
    <cfRule type="cellIs" dxfId="114" priority="79" operator="lessThan">
      <formula>0</formula>
    </cfRule>
    <cfRule type="cellIs" dxfId="113" priority="80" operator="greaterThan">
      <formula>0</formula>
    </cfRule>
    <cfRule type="cellIs" dxfId="112" priority="81" operator="equal">
      <formula>0</formula>
    </cfRule>
  </conditionalFormatting>
  <conditionalFormatting sqref="AV70">
    <cfRule type="cellIs" dxfId="111" priority="76" operator="lessThan">
      <formula>0</formula>
    </cfRule>
    <cfRule type="cellIs" dxfId="110" priority="77" operator="greaterThan">
      <formula>0</formula>
    </cfRule>
    <cfRule type="cellIs" dxfId="109" priority="78" operator="equal">
      <formula>0</formula>
    </cfRule>
  </conditionalFormatting>
  <conditionalFormatting sqref="AJ80">
    <cfRule type="cellIs" dxfId="108" priority="73" operator="lessThan">
      <formula>0</formula>
    </cfRule>
    <cfRule type="cellIs" dxfId="107" priority="74" operator="greaterThan">
      <formula>0</formula>
    </cfRule>
    <cfRule type="cellIs" dxfId="106" priority="75" operator="equal">
      <formula>0</formula>
    </cfRule>
  </conditionalFormatting>
  <conditionalFormatting sqref="AM80">
    <cfRule type="cellIs" dxfId="105" priority="70" operator="lessThan">
      <formula>0</formula>
    </cfRule>
    <cfRule type="cellIs" dxfId="104" priority="71" operator="greaterThan">
      <formula>0</formula>
    </cfRule>
    <cfRule type="cellIs" dxfId="103" priority="72" operator="equal">
      <formula>0</formula>
    </cfRule>
  </conditionalFormatting>
  <conditionalFormatting sqref="AP80">
    <cfRule type="cellIs" dxfId="102" priority="67" operator="lessThan">
      <formula>0</formula>
    </cfRule>
    <cfRule type="cellIs" dxfId="101" priority="68" operator="greaterThan">
      <formula>0</formula>
    </cfRule>
    <cfRule type="cellIs" dxfId="100" priority="69" operator="equal">
      <formula>0</formula>
    </cfRule>
  </conditionalFormatting>
  <conditionalFormatting sqref="AS80">
    <cfRule type="cellIs" dxfId="99" priority="64" operator="lessThan">
      <formula>0</formula>
    </cfRule>
    <cfRule type="cellIs" dxfId="98" priority="65" operator="greaterThan">
      <formula>0</formula>
    </cfRule>
    <cfRule type="cellIs" dxfId="97" priority="66" operator="equal">
      <formula>0</formula>
    </cfRule>
  </conditionalFormatting>
  <conditionalFormatting sqref="AV80">
    <cfRule type="cellIs" dxfId="96" priority="61" operator="lessThan">
      <formula>0</formula>
    </cfRule>
    <cfRule type="cellIs" dxfId="95" priority="62" operator="greaterThan">
      <formula>0</formula>
    </cfRule>
    <cfRule type="cellIs" dxfId="94" priority="63" operator="equal">
      <formula>0</formula>
    </cfRule>
  </conditionalFormatting>
  <conditionalFormatting sqref="AJ90">
    <cfRule type="cellIs" dxfId="93" priority="58" operator="lessThan">
      <formula>0</formula>
    </cfRule>
    <cfRule type="cellIs" dxfId="92" priority="59" operator="greaterThan">
      <formula>0</formula>
    </cfRule>
    <cfRule type="cellIs" dxfId="91" priority="60" operator="equal">
      <formula>0</formula>
    </cfRule>
  </conditionalFormatting>
  <conditionalFormatting sqref="AM90">
    <cfRule type="cellIs" dxfId="90" priority="55" operator="lessThan">
      <formula>0</formula>
    </cfRule>
    <cfRule type="cellIs" dxfId="89" priority="56" operator="greaterThan">
      <formula>0</formula>
    </cfRule>
    <cfRule type="cellIs" dxfId="88" priority="57" operator="equal">
      <formula>0</formula>
    </cfRule>
  </conditionalFormatting>
  <conditionalFormatting sqref="AP90">
    <cfRule type="cellIs" dxfId="87" priority="52" operator="lessThan">
      <formula>0</formula>
    </cfRule>
    <cfRule type="cellIs" dxfId="86" priority="53" operator="greaterThan">
      <formula>0</formula>
    </cfRule>
    <cfRule type="cellIs" dxfId="85" priority="54" operator="equal">
      <formula>0</formula>
    </cfRule>
  </conditionalFormatting>
  <conditionalFormatting sqref="AS90">
    <cfRule type="cellIs" dxfId="84" priority="49" operator="lessThan">
      <formula>0</formula>
    </cfRule>
    <cfRule type="cellIs" dxfId="83" priority="50" operator="greaterThan">
      <formula>0</formula>
    </cfRule>
    <cfRule type="cellIs" dxfId="82" priority="51" operator="equal">
      <formula>0</formula>
    </cfRule>
  </conditionalFormatting>
  <conditionalFormatting sqref="AV90">
    <cfRule type="cellIs" dxfId="81" priority="46" operator="lessThan">
      <formula>0</formula>
    </cfRule>
    <cfRule type="cellIs" dxfId="80" priority="47" operator="greaterThan">
      <formula>0</formula>
    </cfRule>
    <cfRule type="cellIs" dxfId="79" priority="48" operator="equal">
      <formula>0</formula>
    </cfRule>
  </conditionalFormatting>
  <conditionalFormatting sqref="AJ100">
    <cfRule type="cellIs" dxfId="78" priority="43" operator="lessThan">
      <formula>0</formula>
    </cfRule>
    <cfRule type="cellIs" dxfId="77" priority="44" operator="greaterThan">
      <formula>0</formula>
    </cfRule>
    <cfRule type="cellIs" dxfId="76" priority="45" operator="equal">
      <formula>0</formula>
    </cfRule>
  </conditionalFormatting>
  <conditionalFormatting sqref="AM100">
    <cfRule type="cellIs" dxfId="75" priority="40" operator="lessThan">
      <formula>0</formula>
    </cfRule>
    <cfRule type="cellIs" dxfId="74" priority="41" operator="greaterThan">
      <formula>0</formula>
    </cfRule>
    <cfRule type="cellIs" dxfId="73" priority="42" operator="equal">
      <formula>0</formula>
    </cfRule>
  </conditionalFormatting>
  <conditionalFormatting sqref="AP100">
    <cfRule type="cellIs" dxfId="72" priority="37" operator="lessThan">
      <formula>0</formula>
    </cfRule>
    <cfRule type="cellIs" dxfId="71" priority="38" operator="greaterThan">
      <formula>0</formula>
    </cfRule>
    <cfRule type="cellIs" dxfId="70" priority="39" operator="equal">
      <formula>0</formula>
    </cfRule>
  </conditionalFormatting>
  <conditionalFormatting sqref="AS100">
    <cfRule type="cellIs" dxfId="69" priority="34" operator="lessThan">
      <formula>0</formula>
    </cfRule>
    <cfRule type="cellIs" dxfId="68" priority="35" operator="greaterThan">
      <formula>0</formula>
    </cfRule>
    <cfRule type="cellIs" dxfId="67" priority="36" operator="equal">
      <formula>0</formula>
    </cfRule>
  </conditionalFormatting>
  <conditionalFormatting sqref="AV100">
    <cfRule type="cellIs" dxfId="66" priority="31" operator="lessThan">
      <formula>0</formula>
    </cfRule>
    <cfRule type="cellIs" dxfId="65" priority="32" operator="greaterThan">
      <formula>0</formula>
    </cfRule>
    <cfRule type="cellIs" dxfId="64" priority="33" operator="equal">
      <formula>0</formula>
    </cfRule>
  </conditionalFormatting>
  <conditionalFormatting sqref="AJ110">
    <cfRule type="cellIs" dxfId="63" priority="28" operator="lessThan">
      <formula>0</formula>
    </cfRule>
    <cfRule type="cellIs" dxfId="62" priority="29" operator="greaterThan">
      <formula>0</formula>
    </cfRule>
    <cfRule type="cellIs" dxfId="61" priority="30" operator="equal">
      <formula>0</formula>
    </cfRule>
  </conditionalFormatting>
  <conditionalFormatting sqref="AM110">
    <cfRule type="cellIs" dxfId="60" priority="25" operator="lessThan">
      <formula>0</formula>
    </cfRule>
    <cfRule type="cellIs" dxfId="59" priority="26" operator="greaterThan">
      <formula>0</formula>
    </cfRule>
    <cfRule type="cellIs" dxfId="58" priority="27" operator="equal">
      <formula>0</formula>
    </cfRule>
  </conditionalFormatting>
  <conditionalFormatting sqref="AP110">
    <cfRule type="cellIs" dxfId="57" priority="22" operator="lessThan">
      <formula>0</formula>
    </cfRule>
    <cfRule type="cellIs" dxfId="56" priority="23" operator="greaterThan">
      <formula>0</formula>
    </cfRule>
    <cfRule type="cellIs" dxfId="55" priority="24" operator="equal">
      <formula>0</formula>
    </cfRule>
  </conditionalFormatting>
  <conditionalFormatting sqref="AS110">
    <cfRule type="cellIs" dxfId="54" priority="19" operator="lessThan">
      <formula>0</formula>
    </cfRule>
    <cfRule type="cellIs" dxfId="53" priority="20" operator="greaterThan">
      <formula>0</formula>
    </cfRule>
    <cfRule type="cellIs" dxfId="52" priority="21" operator="equal">
      <formula>0</formula>
    </cfRule>
  </conditionalFormatting>
  <conditionalFormatting sqref="AJ120">
    <cfRule type="cellIs" dxfId="51" priority="13" operator="lessThan">
      <formula>0</formula>
    </cfRule>
    <cfRule type="cellIs" dxfId="50" priority="14" operator="greaterThan">
      <formula>0</formula>
    </cfRule>
    <cfRule type="cellIs" dxfId="49" priority="15" operator="equal">
      <formula>0</formula>
    </cfRule>
  </conditionalFormatting>
  <conditionalFormatting sqref="AM120">
    <cfRule type="cellIs" dxfId="48" priority="10" operator="lessThan">
      <formula>0</formula>
    </cfRule>
    <cfRule type="cellIs" dxfId="47" priority="11" operator="greaterThan">
      <formula>0</formula>
    </cfRule>
    <cfRule type="cellIs" dxfId="46" priority="12" operator="equal">
      <formula>0</formula>
    </cfRule>
  </conditionalFormatting>
  <conditionalFormatting sqref="AP120">
    <cfRule type="cellIs" dxfId="45" priority="7" operator="lessThan">
      <formula>0</formula>
    </cfRule>
    <cfRule type="cellIs" dxfId="44" priority="8" operator="greaterThan">
      <formula>0</formula>
    </cfRule>
    <cfRule type="cellIs" dxfId="43" priority="9" operator="equal">
      <formula>0</formula>
    </cfRule>
  </conditionalFormatting>
  <conditionalFormatting sqref="AS120">
    <cfRule type="cellIs" dxfId="42" priority="4" operator="lessThan">
      <formula>0</formula>
    </cfRule>
    <cfRule type="cellIs" dxfId="41" priority="5" operator="greaterThan">
      <formula>0</formula>
    </cfRule>
    <cfRule type="cellIs" dxfId="40" priority="6" operator="equal">
      <formula>0</formula>
    </cfRule>
  </conditionalFormatting>
  <conditionalFormatting sqref="AV120">
    <cfRule type="cellIs" dxfId="39" priority="1" operator="lessThan">
      <formula>0</formula>
    </cfRule>
    <cfRule type="cellIs" dxfId="38" priority="2" operator="greaterThan">
      <formula>0</formula>
    </cfRule>
    <cfRule type="cellIs" dxfId="37" priority="3" operator="equal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pane xSplit="1" ySplit="1" topLeftCell="B2" activePane="bottomRight" state="frozen"/>
      <selection activeCell="BC19" sqref="BC19"/>
      <selection pane="topRight" activeCell="BC19" sqref="BC19"/>
      <selection pane="bottomLeft" activeCell="BC19" sqref="BC19"/>
      <selection pane="bottomRight" activeCell="BC19" sqref="BC19"/>
    </sheetView>
  </sheetViews>
  <sheetFormatPr defaultRowHeight="15" x14ac:dyDescent="0.25"/>
  <cols>
    <col min="1" max="1" width="6.28515625" customWidth="1"/>
    <col min="2" max="2" width="10.28515625" customWidth="1"/>
    <col min="12" max="12" width="10.28515625" customWidth="1"/>
  </cols>
  <sheetData>
    <row r="1" spans="1:12" ht="18" customHeight="1" x14ac:dyDescent="0.25">
      <c r="A1" s="183" t="s">
        <v>1</v>
      </c>
      <c r="B1" s="177" t="s">
        <v>169</v>
      </c>
      <c r="C1" s="23" t="s">
        <v>27</v>
      </c>
      <c r="D1" s="19" t="s">
        <v>29</v>
      </c>
      <c r="E1" s="27" t="s">
        <v>30</v>
      </c>
      <c r="F1" s="173" t="s">
        <v>31</v>
      </c>
      <c r="G1" s="22" t="s">
        <v>32</v>
      </c>
      <c r="H1" s="26" t="s">
        <v>33</v>
      </c>
      <c r="I1" s="174" t="s">
        <v>34</v>
      </c>
      <c r="J1" s="175" t="s">
        <v>115</v>
      </c>
      <c r="K1" s="176" t="s">
        <v>48</v>
      </c>
      <c r="L1" s="176" t="s">
        <v>44</v>
      </c>
    </row>
    <row r="2" spans="1:12" ht="15.75" x14ac:dyDescent="0.25">
      <c r="A2" s="178">
        <v>1</v>
      </c>
      <c r="B2" s="25" t="s">
        <v>121</v>
      </c>
      <c r="C2" s="178">
        <f>COUNTIFS(JOURNAL!I:I,"AUDCAD",JOURNAL!O:O,"TP")</f>
        <v>0</v>
      </c>
      <c r="D2" s="178">
        <f>COUNTIFS(JOURNAL!I:I,"AUDCAD",JOURNAL!O:O,"SL")</f>
        <v>0</v>
      </c>
      <c r="E2" s="178">
        <f>COUNTIFS(JOURNAL!I:I,"AUDCAD",JOURNAL!O:O,"PS")</f>
        <v>0</v>
      </c>
      <c r="F2" s="178">
        <f>COUNTIFS(JOURNAL!I:I,"AUDCAD",JOURNAL!O:O,"LS")</f>
        <v>0</v>
      </c>
      <c r="G2" s="178">
        <f>COUNTIFS(JOURNAL!I:I,"AUDCAD",JOURNAL!O:O,"RF")</f>
        <v>0</v>
      </c>
      <c r="H2" s="178">
        <f>COUNTIFS(JOURNAL!I:I,"AUDCAD",JOURNAL!O:O,"OT +")</f>
        <v>0</v>
      </c>
      <c r="I2" s="178">
        <f>COUNTIFS(JOURNAL!I:I,"AUDCAD",JOURNAL!O:O,"OT -")</f>
        <v>0</v>
      </c>
      <c r="J2" s="178">
        <f t="shared" ref="J2:J31" si="0">SUM(C2:I2)</f>
        <v>0</v>
      </c>
      <c r="K2" s="179">
        <f>SUMIF(JOURNAL!I:I,"AUDCAD",JOURNAL!Q:Q)</f>
        <v>0</v>
      </c>
      <c r="L2" s="179" t="e">
        <f>SUM(C2,E2,G2,H2)/J2</f>
        <v>#DIV/0!</v>
      </c>
    </row>
    <row r="3" spans="1:12" ht="15.75" x14ac:dyDescent="0.25">
      <c r="A3" s="180">
        <v>2</v>
      </c>
      <c r="B3" s="5" t="s">
        <v>122</v>
      </c>
      <c r="C3" s="166">
        <f>COUNTIFS(JOURNAL!I:I,"AUDCHF",JOURNAL!O:O,"TP")</f>
        <v>0</v>
      </c>
      <c r="D3" s="166">
        <f>COUNTIFS(JOURNAL!I:I,"AUDCHF",JOURNAL!O:O,"SL")</f>
        <v>0</v>
      </c>
      <c r="E3" s="166">
        <f>COUNTIFS(JOURNAL!I:I,"AUDCHF",JOURNAL!O:O,"PS")</f>
        <v>0</v>
      </c>
      <c r="F3" s="166">
        <f>COUNTIFS(JOURNAL!I:I,"AUDCHF",JOURNAL!O:O,"LS")</f>
        <v>0</v>
      </c>
      <c r="G3" s="166">
        <f>COUNTIFS(JOURNAL!I:I,"AUDCHF",JOURNAL!O:O,"RF")</f>
        <v>0</v>
      </c>
      <c r="H3" s="166">
        <f>COUNTIFS(JOURNAL!I:I,"AUDCHF",JOURNAL!O:O,"OT +")</f>
        <v>0</v>
      </c>
      <c r="I3" s="166">
        <f>COUNTIFS(JOURNAL!I:I,"AUDCHF",JOURNAL!O:O,"OT -")</f>
        <v>0</v>
      </c>
      <c r="J3" s="180">
        <f t="shared" si="0"/>
        <v>0</v>
      </c>
      <c r="K3" s="164">
        <f>SUMIF(JOURNAL!I:I,"AUDCHF",JOURNAL!Q:Q)</f>
        <v>0</v>
      </c>
      <c r="L3" s="181" t="e">
        <f t="shared" ref="L3:L31" si="1">SUM(C3,E3,G3,H3)/J3</f>
        <v>#DIV/0!</v>
      </c>
    </row>
    <row r="4" spans="1:12" ht="15.75" x14ac:dyDescent="0.25">
      <c r="A4" s="178">
        <v>3</v>
      </c>
      <c r="B4" s="25" t="s">
        <v>123</v>
      </c>
      <c r="C4" s="178">
        <f>COUNTIFS(JOURNAL!I:I,"AUDJPY",JOURNAL!O:O,"TP")</f>
        <v>0</v>
      </c>
      <c r="D4" s="178">
        <f>COUNTIFS(JOURNAL!I:I,"AUDJPY",JOURNAL!O:O,"SL")</f>
        <v>0</v>
      </c>
      <c r="E4" s="178">
        <f>COUNTIFS(JOURNAL!I:I,"AUDJPY",JOURNAL!O:O,"PS")</f>
        <v>0</v>
      </c>
      <c r="F4" s="178">
        <f>COUNTIFS(JOURNAL!I:I,"AUDJPY",JOURNAL!O:O,"LS")</f>
        <v>0</v>
      </c>
      <c r="G4" s="178">
        <f>COUNTIFS(JOURNAL!I:I,"AUDJPY",JOURNAL!O:O,"RF")</f>
        <v>0</v>
      </c>
      <c r="H4" s="178">
        <f>COUNTIFS(JOURNAL!I:I,"AUDJPY",JOURNAL!O:O,"OT +")</f>
        <v>0</v>
      </c>
      <c r="I4" s="178">
        <f>COUNTIFS(JOURNAL!I:I,"AUDJPY",JOURNAL!O:O,"OT -")</f>
        <v>0</v>
      </c>
      <c r="J4" s="178">
        <f t="shared" si="0"/>
        <v>0</v>
      </c>
      <c r="K4" s="179">
        <f>SUMIF(JOURNAL!I:I,"AUDJPY",JOURNAL!Q:Q)</f>
        <v>0</v>
      </c>
      <c r="L4" s="179" t="e">
        <f t="shared" si="1"/>
        <v>#DIV/0!</v>
      </c>
    </row>
    <row r="5" spans="1:12" ht="15.75" x14ac:dyDescent="0.25">
      <c r="A5" s="180">
        <v>4</v>
      </c>
      <c r="B5" s="5" t="s">
        <v>124</v>
      </c>
      <c r="C5" s="166">
        <f>COUNTIFS(JOURNAL!I:I,"AUDNZD",JOURNAL!O:O,"TP")</f>
        <v>0</v>
      </c>
      <c r="D5" s="166">
        <f>COUNTIFS(JOURNAL!I:I,"AUDNZD",JOURNAL!O:O,"SL")</f>
        <v>0</v>
      </c>
      <c r="E5" s="166">
        <f>COUNTIFS(JOURNAL!I:I,"AUDNZD",JOURNAL!O:O,"PS")</f>
        <v>0</v>
      </c>
      <c r="F5" s="166">
        <f>COUNTIFS(JOURNAL!I:I,"AUDNZD",JOURNAL!O:O,"LS")</f>
        <v>0</v>
      </c>
      <c r="G5" s="166">
        <f>COUNTIFS(JOURNAL!I:I,"AUDNZD",JOURNAL!O:O,"RF")</f>
        <v>0</v>
      </c>
      <c r="H5" s="166">
        <f>COUNTIFS(JOURNAL!I:I,"AUDNZD",JOURNAL!O:O,"OT +")</f>
        <v>0</v>
      </c>
      <c r="I5" s="166">
        <f>COUNTIFS(JOURNAL!I:I,"AUDNZD",JOURNAL!O:O,"OT -")</f>
        <v>0</v>
      </c>
      <c r="J5" s="180">
        <f t="shared" si="0"/>
        <v>0</v>
      </c>
      <c r="K5" s="164">
        <f>SUMIF(JOURNAL!I:I,"AUDNZD",JOURNAL!Q:Q)</f>
        <v>0</v>
      </c>
      <c r="L5" s="181" t="e">
        <f t="shared" si="1"/>
        <v>#DIV/0!</v>
      </c>
    </row>
    <row r="6" spans="1:12" ht="15.75" x14ac:dyDescent="0.25">
      <c r="A6" s="178">
        <v>5</v>
      </c>
      <c r="B6" s="25" t="s">
        <v>125</v>
      </c>
      <c r="C6" s="178">
        <f>COUNTIFS(JOURNAL!I:I,"AUDUSD",JOURNAL!O:O,"TP")</f>
        <v>0</v>
      </c>
      <c r="D6" s="178">
        <f>COUNTIFS(JOURNAL!I:I,"AUDUSD",JOURNAL!O:O,"SL")</f>
        <v>0</v>
      </c>
      <c r="E6" s="178">
        <f>COUNTIFS(JOURNAL!I:I,"AUDUSD",JOURNAL!O:O,"PS")</f>
        <v>0</v>
      </c>
      <c r="F6" s="178">
        <f>COUNTIFS(JOURNAL!I:I,"AUDUSD",JOURNAL!O:O,"LS")</f>
        <v>0</v>
      </c>
      <c r="G6" s="178">
        <f>COUNTIFS(JOURNAL!I:I,"AUDUSD",JOURNAL!O:O,"RF")</f>
        <v>0</v>
      </c>
      <c r="H6" s="178">
        <f>COUNTIFS(JOURNAL!I:I,"AUDUSD",JOURNAL!O:O,"OT +")</f>
        <v>0</v>
      </c>
      <c r="I6" s="178">
        <f>COUNTIFS(JOURNAL!I:I,"AUDUSD",JOURNAL!O:O,"OT -")</f>
        <v>0</v>
      </c>
      <c r="J6" s="178">
        <f t="shared" si="0"/>
        <v>0</v>
      </c>
      <c r="K6" s="179">
        <f>SUMIF(JOURNAL!I:I,"AUDUSD",JOURNAL!Q:Q)</f>
        <v>0</v>
      </c>
      <c r="L6" s="179" t="e">
        <f t="shared" si="1"/>
        <v>#DIV/0!</v>
      </c>
    </row>
    <row r="7" spans="1:12" ht="15.75" x14ac:dyDescent="0.25">
      <c r="A7" s="180">
        <v>6</v>
      </c>
      <c r="B7" s="5" t="s">
        <v>126</v>
      </c>
      <c r="C7" s="166">
        <f>COUNTIFS(JOURNAL!I:I,"CADCHF",JOURNAL!O:O,"TP")</f>
        <v>0</v>
      </c>
      <c r="D7" s="166">
        <f>COUNTIFS(JOURNAL!I:I,"CADCHF",JOURNAL!O:O,"SL")</f>
        <v>0</v>
      </c>
      <c r="E7" s="166">
        <f>COUNTIFS(JOURNAL!I:I,"CADCHF",JOURNAL!O:O,"PS")</f>
        <v>0</v>
      </c>
      <c r="F7" s="166">
        <f>COUNTIFS(JOURNAL!I:I,"CADCHF",JOURNAL!O:O,"LS")</f>
        <v>0</v>
      </c>
      <c r="G7" s="166">
        <f>COUNTIFS(JOURNAL!I:I,"CADCHF",JOURNAL!O:O,"RF")</f>
        <v>0</v>
      </c>
      <c r="H7" s="166">
        <f>COUNTIFS(JOURNAL!I:I,"CADCHF",JOURNAL!O:O,"OT +")</f>
        <v>0</v>
      </c>
      <c r="I7" s="166">
        <f>COUNTIFS(JOURNAL!I:I,"CADCHF",JOURNAL!O:O,"OT -")</f>
        <v>0</v>
      </c>
      <c r="J7" s="180">
        <f t="shared" si="0"/>
        <v>0</v>
      </c>
      <c r="K7" s="164">
        <f>SUMIF(JOURNAL!I:I,"CADCHF",JOURNAL!Q:Q)</f>
        <v>0</v>
      </c>
      <c r="L7" s="181" t="e">
        <f t="shared" si="1"/>
        <v>#DIV/0!</v>
      </c>
    </row>
    <row r="8" spans="1:12" ht="15.75" x14ac:dyDescent="0.25">
      <c r="A8" s="178">
        <v>7</v>
      </c>
      <c r="B8" s="25" t="s">
        <v>127</v>
      </c>
      <c r="C8" s="178">
        <f>COUNTIFS(JOURNAL!I:I,"CADJPY",JOURNAL!O:O,"TP")</f>
        <v>0</v>
      </c>
      <c r="D8" s="178">
        <f>COUNTIFS(JOURNAL!I:I,"CADJPY",JOURNAL!O:O,"SL")</f>
        <v>0</v>
      </c>
      <c r="E8" s="178">
        <f>COUNTIFS(JOURNAL!I:I,"CADJPY",JOURNAL!O:O,"PS")</f>
        <v>0</v>
      </c>
      <c r="F8" s="178">
        <f>COUNTIFS(JOURNAL!I:I,"CADJPY",JOURNAL!O:O,"LS")</f>
        <v>0</v>
      </c>
      <c r="G8" s="178">
        <f>COUNTIFS(JOURNAL!I:I,"CADJPY",JOURNAL!O:O,"RF")</f>
        <v>0</v>
      </c>
      <c r="H8" s="178">
        <f>COUNTIFS(JOURNAL!I:I,"CADJPY",JOURNAL!O:O,"OT +")</f>
        <v>0</v>
      </c>
      <c r="I8" s="178">
        <f>COUNTIFS(JOURNAL!I:I,"CADJPY",JOURNAL!O:O,"OT -")</f>
        <v>0</v>
      </c>
      <c r="J8" s="178">
        <f t="shared" si="0"/>
        <v>0</v>
      </c>
      <c r="K8" s="179">
        <f>SUMIF(JOURNAL!I:I,"CADJPY",JOURNAL!Q:Q)</f>
        <v>0</v>
      </c>
      <c r="L8" s="179" t="e">
        <f t="shared" si="1"/>
        <v>#DIV/0!</v>
      </c>
    </row>
    <row r="9" spans="1:12" ht="15.75" x14ac:dyDescent="0.25">
      <c r="A9" s="180">
        <v>8</v>
      </c>
      <c r="B9" s="5" t="s">
        <v>128</v>
      </c>
      <c r="C9" s="166">
        <f>COUNTIFS(JOURNAL!I:I,"CHFJPY",JOURNAL!O:O,"TP")</f>
        <v>0</v>
      </c>
      <c r="D9" s="166">
        <f>COUNTIFS(JOURNAL!I:I,"CHFJPY",JOURNAL!O:O,"SL")</f>
        <v>0</v>
      </c>
      <c r="E9" s="166">
        <f>COUNTIFS(JOURNAL!I:I,"CHFJPY",JOURNAL!O:O,"PS")</f>
        <v>0</v>
      </c>
      <c r="F9" s="166">
        <f>COUNTIFS(JOURNAL!I:I,"CHFJPY",JOURNAL!O:O,"LS")</f>
        <v>0</v>
      </c>
      <c r="G9" s="166">
        <f>COUNTIFS(JOURNAL!I:I,"CHFJPY",JOURNAL!O:O,"RF")</f>
        <v>0</v>
      </c>
      <c r="H9" s="166">
        <f>COUNTIFS(JOURNAL!I:I,"CHFJPY",JOURNAL!O:O,"OT +")</f>
        <v>0</v>
      </c>
      <c r="I9" s="166">
        <f>COUNTIFS(JOURNAL!I:I,"CHFJPY",JOURNAL!O:O,"OT -")</f>
        <v>0</v>
      </c>
      <c r="J9" s="180">
        <f t="shared" si="0"/>
        <v>0</v>
      </c>
      <c r="K9" s="164">
        <f>SUMIF(JOURNAL!I:I,"CHFJPY",JOURNAL!Q:Q)</f>
        <v>0</v>
      </c>
      <c r="L9" s="181" t="e">
        <f t="shared" si="1"/>
        <v>#DIV/0!</v>
      </c>
    </row>
    <row r="10" spans="1:12" ht="15.75" x14ac:dyDescent="0.25">
      <c r="A10" s="178">
        <v>9</v>
      </c>
      <c r="B10" s="25" t="s">
        <v>129</v>
      </c>
      <c r="C10" s="178">
        <f>COUNTIFS(JOURNAL!I:I,"EURAUD",JOURNAL!O:O,"TP")</f>
        <v>0</v>
      </c>
      <c r="D10" s="178">
        <f>COUNTIFS(JOURNAL!I:I,"EURAUD",JOURNAL!O:O,"SL")</f>
        <v>0</v>
      </c>
      <c r="E10" s="178">
        <f>COUNTIFS(JOURNAL!I:I,"EURAUD",JOURNAL!O:O,"PS")</f>
        <v>0</v>
      </c>
      <c r="F10" s="178">
        <f>COUNTIFS(JOURNAL!I:I,"EURAUD",JOURNAL!O:O,"LS")</f>
        <v>0</v>
      </c>
      <c r="G10" s="178">
        <f>COUNTIFS(JOURNAL!I:I,"EURAUD",JOURNAL!O:O,"RF")</f>
        <v>0</v>
      </c>
      <c r="H10" s="178">
        <f>COUNTIFS(JOURNAL!I:I,"EURAUD",JOURNAL!O:O,"OT +")</f>
        <v>0</v>
      </c>
      <c r="I10" s="178">
        <f>COUNTIFS(JOURNAL!I:I,"EURAUD",JOURNAL!O:O,"OT -")</f>
        <v>0</v>
      </c>
      <c r="J10" s="178">
        <f t="shared" si="0"/>
        <v>0</v>
      </c>
      <c r="K10" s="179">
        <f>SUMIF(JOURNAL!I:I,"EURAUD",JOURNAL!Q:Q)</f>
        <v>0</v>
      </c>
      <c r="L10" s="179" t="e">
        <f t="shared" si="1"/>
        <v>#DIV/0!</v>
      </c>
    </row>
    <row r="11" spans="1:12" ht="15.75" x14ac:dyDescent="0.25">
      <c r="A11" s="180">
        <v>10</v>
      </c>
      <c r="B11" s="5" t="s">
        <v>130</v>
      </c>
      <c r="C11" s="166">
        <f>COUNTIFS(JOURNAL!I:I,"EURCAD",JOURNAL!O:O,"TP")</f>
        <v>0</v>
      </c>
      <c r="D11" s="166">
        <f>COUNTIFS(JOURNAL!I:I,"EURCAD",JOURNAL!O:O,"SL")</f>
        <v>0</v>
      </c>
      <c r="E11" s="166">
        <f>COUNTIFS(JOURNAL!I:I,"EURCAD",JOURNAL!O:O,"PS")</f>
        <v>0</v>
      </c>
      <c r="F11" s="166">
        <f>COUNTIFS(JOURNAL!I:I,"EURCAD",JOURNAL!O:O,"LS")</f>
        <v>0</v>
      </c>
      <c r="G11" s="166">
        <f>COUNTIFS(JOURNAL!I:I,"EURCAD",JOURNAL!O:O,"RF")</f>
        <v>0</v>
      </c>
      <c r="H11" s="166">
        <f>COUNTIFS(JOURNAL!I:I,"EURCAD",JOURNAL!O:O,"OT +")</f>
        <v>0</v>
      </c>
      <c r="I11" s="166">
        <f>COUNTIFS(JOURNAL!I:I,"EURCAD",JOURNAL!O:O,"OT -")</f>
        <v>0</v>
      </c>
      <c r="J11" s="180">
        <f t="shared" si="0"/>
        <v>0</v>
      </c>
      <c r="K11" s="164">
        <f>SUMIF(JOURNAL!I:I,"EURCAD",JOURNAL!Q:Q)</f>
        <v>0</v>
      </c>
      <c r="L11" s="181" t="e">
        <f t="shared" si="1"/>
        <v>#DIV/0!</v>
      </c>
    </row>
    <row r="12" spans="1:12" ht="15.75" x14ac:dyDescent="0.25">
      <c r="A12" s="178">
        <v>11</v>
      </c>
      <c r="B12" s="25" t="s">
        <v>131</v>
      </c>
      <c r="C12" s="178">
        <f>COUNTIFS(JOURNAL!I:I,"EURCHF",JOURNAL!O:O,"TP")</f>
        <v>0</v>
      </c>
      <c r="D12" s="178">
        <f>COUNTIFS(JOURNAL!I:I,"EURCHF",JOURNAL!O:O,"SL")</f>
        <v>0</v>
      </c>
      <c r="E12" s="178">
        <f>COUNTIFS(JOURNAL!I:I,"EURCHF",JOURNAL!O:O,"PS")</f>
        <v>0</v>
      </c>
      <c r="F12" s="178">
        <f>COUNTIFS(JOURNAL!I:I,"EURCHF",JOURNAL!O:O,"LS")</f>
        <v>0</v>
      </c>
      <c r="G12" s="178">
        <f>COUNTIFS(JOURNAL!I:I,"EURCHF",JOURNAL!O:O,"RF")</f>
        <v>0</v>
      </c>
      <c r="H12" s="178">
        <f>COUNTIFS(JOURNAL!I:I,"EURCHF",JOURNAL!O:O,"OT +")</f>
        <v>0</v>
      </c>
      <c r="I12" s="178">
        <f>COUNTIFS(JOURNAL!I:I,"EURCHF",JOURNAL!O:O,"OT -")</f>
        <v>0</v>
      </c>
      <c r="J12" s="178">
        <f t="shared" si="0"/>
        <v>0</v>
      </c>
      <c r="K12" s="179">
        <f>SUMIF(JOURNAL!I:I,"EURCHF",JOURNAL!Q:Q)</f>
        <v>0</v>
      </c>
      <c r="L12" s="179" t="e">
        <f t="shared" si="1"/>
        <v>#DIV/0!</v>
      </c>
    </row>
    <row r="13" spans="1:12" ht="15.75" x14ac:dyDescent="0.25">
      <c r="A13" s="180">
        <v>12</v>
      </c>
      <c r="B13" s="5" t="s">
        <v>132</v>
      </c>
      <c r="C13" s="166">
        <f>COUNTIFS(JOURNAL!I:I,"EURJPY",JOURNAL!O:O,"TP")</f>
        <v>0</v>
      </c>
      <c r="D13" s="166">
        <f>COUNTIFS(JOURNAL!I:I,"EURJPY",JOURNAL!O:O,"SL")</f>
        <v>0</v>
      </c>
      <c r="E13" s="166">
        <f>COUNTIFS(JOURNAL!I:I,"EURJPY",JOURNAL!O:O,"PS")</f>
        <v>0</v>
      </c>
      <c r="F13" s="166">
        <f>COUNTIFS(JOURNAL!I:I,"EURJPY",JOURNAL!O:O,"LS")</f>
        <v>0</v>
      </c>
      <c r="G13" s="166">
        <f>COUNTIFS(JOURNAL!I:I,"EURJPY",JOURNAL!O:O,"RF")</f>
        <v>0</v>
      </c>
      <c r="H13" s="166">
        <f>COUNTIFS(JOURNAL!I:I,"EURJPY",JOURNAL!O:O,"OT +")</f>
        <v>0</v>
      </c>
      <c r="I13" s="166">
        <f>COUNTIFS(JOURNAL!I:I,"EURJPY",JOURNAL!O:O,"OT -")</f>
        <v>0</v>
      </c>
      <c r="J13" s="180">
        <f t="shared" si="0"/>
        <v>0</v>
      </c>
      <c r="K13" s="164">
        <f>SUMIF(JOURNAL!I:I,"EURJPY",JOURNAL!Q:Q)</f>
        <v>0</v>
      </c>
      <c r="L13" s="181" t="e">
        <f t="shared" si="1"/>
        <v>#DIV/0!</v>
      </c>
    </row>
    <row r="14" spans="1:12" ht="15.75" x14ac:dyDescent="0.25">
      <c r="A14" s="178">
        <v>13</v>
      </c>
      <c r="B14" s="25" t="s">
        <v>133</v>
      </c>
      <c r="C14" s="178">
        <f>COUNTIFS(JOURNAL!I:I,"EURNZD",JOURNAL!O:O,"TP")</f>
        <v>0</v>
      </c>
      <c r="D14" s="178">
        <f>COUNTIFS(JOURNAL!I:I,"EURNZD",JOURNAL!O:O,"SL")</f>
        <v>0</v>
      </c>
      <c r="E14" s="178">
        <f>COUNTIFS(JOURNAL!I:I,"EURNZD",JOURNAL!O:O,"PS")</f>
        <v>0</v>
      </c>
      <c r="F14" s="178">
        <f>COUNTIFS(JOURNAL!I:I,"EURNZD",JOURNAL!O:O,"LS")</f>
        <v>0</v>
      </c>
      <c r="G14" s="178">
        <f>COUNTIFS(JOURNAL!I:I,"EURNZD",JOURNAL!O:O,"RF")</f>
        <v>0</v>
      </c>
      <c r="H14" s="178">
        <f>COUNTIFS(JOURNAL!I:I,"EURNZD",JOURNAL!O:O,"OT +")</f>
        <v>0</v>
      </c>
      <c r="I14" s="178">
        <f>COUNTIFS(JOURNAL!I:I,"EURNZD",JOURNAL!O:O,"OT -")</f>
        <v>0</v>
      </c>
      <c r="J14" s="178">
        <f t="shared" si="0"/>
        <v>0</v>
      </c>
      <c r="K14" s="179">
        <f>SUMIF(JOURNAL!I:I,"EURNZD",JOURNAL!Q:Q)</f>
        <v>0</v>
      </c>
      <c r="L14" s="179" t="e">
        <f t="shared" si="1"/>
        <v>#DIV/0!</v>
      </c>
    </row>
    <row r="15" spans="1:12" ht="15.75" x14ac:dyDescent="0.25">
      <c r="A15" s="180">
        <v>14</v>
      </c>
      <c r="B15" s="5" t="s">
        <v>134</v>
      </c>
      <c r="C15" s="166">
        <f>COUNTIFS(JOURNAL!I:I,"EURGBP",JOURNAL!O:O,"TP")</f>
        <v>0</v>
      </c>
      <c r="D15" s="166">
        <f>COUNTIFS(JOURNAL!I:I,"EURGBP",JOURNAL!O:O,"SL")</f>
        <v>0</v>
      </c>
      <c r="E15" s="166">
        <f>COUNTIFS(JOURNAL!I:I,"EURGBP",JOURNAL!O:O,"PS")</f>
        <v>0</v>
      </c>
      <c r="F15" s="166">
        <f>COUNTIFS(JOURNAL!I:I,"EURGBP",JOURNAL!O:O,"LS")</f>
        <v>0</v>
      </c>
      <c r="G15" s="166">
        <f>COUNTIFS(JOURNAL!I:I,"EURGBP",JOURNAL!O:O,"RF")</f>
        <v>0</v>
      </c>
      <c r="H15" s="166">
        <f>COUNTIFS(JOURNAL!I:I,"EURGBP",JOURNAL!O:O,"OT +")</f>
        <v>0</v>
      </c>
      <c r="I15" s="166">
        <f>COUNTIFS(JOURNAL!I:I,"EURGBP",JOURNAL!O:O,"OT -")</f>
        <v>0</v>
      </c>
      <c r="J15" s="180">
        <f t="shared" si="0"/>
        <v>0</v>
      </c>
      <c r="K15" s="164">
        <f>SUMIF(JOURNAL!I:I,"EURGBP",JOURNAL!Q:Q)</f>
        <v>0</v>
      </c>
      <c r="L15" s="181" t="e">
        <f t="shared" si="1"/>
        <v>#DIV/0!</v>
      </c>
    </row>
    <row r="16" spans="1:12" ht="15.75" x14ac:dyDescent="0.25">
      <c r="A16" s="178">
        <v>15</v>
      </c>
      <c r="B16" s="25" t="s">
        <v>135</v>
      </c>
      <c r="C16" s="178">
        <f>COUNTIFS(JOURNAL!I:I,"EURUSD",JOURNAL!O:O,"TP")</f>
        <v>0</v>
      </c>
      <c r="D16" s="178">
        <f>COUNTIFS(JOURNAL!I:I,"EURUSD",JOURNAL!O:O,"SL")</f>
        <v>0</v>
      </c>
      <c r="E16" s="178">
        <f>COUNTIFS(JOURNAL!I:I,"EURUSD",JOURNAL!O:O,"PS")</f>
        <v>0</v>
      </c>
      <c r="F16" s="178">
        <f>COUNTIFS(JOURNAL!I:I,"EURUSD",JOURNAL!O:O,"LS")</f>
        <v>0</v>
      </c>
      <c r="G16" s="178">
        <f>COUNTIFS(JOURNAL!I:I,"EURUSD",JOURNAL!O:O,"RF")</f>
        <v>0</v>
      </c>
      <c r="H16" s="178">
        <f>COUNTIFS(JOURNAL!I:I,"EURUSD",JOURNAL!O:O,"OT +")</f>
        <v>0</v>
      </c>
      <c r="I16" s="178">
        <f>COUNTIFS(JOURNAL!I:I,"EURUSD",JOURNAL!O:O,"OT -")</f>
        <v>0</v>
      </c>
      <c r="J16" s="178">
        <f t="shared" si="0"/>
        <v>0</v>
      </c>
      <c r="K16" s="179">
        <f>SUMIF(JOURNAL!I:I,"EURUSD",JOURNAL!Q:Q)</f>
        <v>0</v>
      </c>
      <c r="L16" s="179" t="e">
        <f t="shared" si="1"/>
        <v>#DIV/0!</v>
      </c>
    </row>
    <row r="17" spans="1:12" ht="15.75" x14ac:dyDescent="0.25">
      <c r="A17" s="180">
        <v>16</v>
      </c>
      <c r="B17" s="5" t="s">
        <v>136</v>
      </c>
      <c r="C17" s="166">
        <f>COUNTIFS(JOURNAL!I:I,"GBPAUD",JOURNAL!O:O,"TP")</f>
        <v>0</v>
      </c>
      <c r="D17" s="166">
        <f>COUNTIFS(JOURNAL!I:I,"GBPAUD",JOURNAL!O:O,"SL")</f>
        <v>0</v>
      </c>
      <c r="E17" s="166">
        <f>COUNTIFS(JOURNAL!I:I,"GBPAUD",JOURNAL!O:O,"PS")</f>
        <v>0</v>
      </c>
      <c r="F17" s="166">
        <f>COUNTIFS(JOURNAL!I:I,"GBPAUD",JOURNAL!O:O,"LS")</f>
        <v>0</v>
      </c>
      <c r="G17" s="166">
        <f>COUNTIFS(JOURNAL!I:I,"GBPAUD",JOURNAL!O:O,"RF")</f>
        <v>0</v>
      </c>
      <c r="H17" s="166">
        <f>COUNTIFS(JOURNAL!I:I,"GBPAUD",JOURNAL!O:O,"OT +")</f>
        <v>0</v>
      </c>
      <c r="I17" s="166">
        <f>COUNTIFS(JOURNAL!I:I,"GBPAUD",JOURNAL!O:O,"OT -")</f>
        <v>0</v>
      </c>
      <c r="J17" s="180">
        <f t="shared" si="0"/>
        <v>0</v>
      </c>
      <c r="K17" s="164">
        <f>SUMIF(JOURNAL!I:I,"GBPAUD",JOURNAL!Q:Q)</f>
        <v>0</v>
      </c>
      <c r="L17" s="181" t="e">
        <f t="shared" si="1"/>
        <v>#DIV/0!</v>
      </c>
    </row>
    <row r="18" spans="1:12" ht="15.75" x14ac:dyDescent="0.25">
      <c r="A18" s="178">
        <v>17</v>
      </c>
      <c r="B18" s="25" t="s">
        <v>137</v>
      </c>
      <c r="C18" s="178">
        <f>COUNTIFS(JOURNAL!I:I,"GBPCAD",JOURNAL!O:O,"TP")</f>
        <v>0</v>
      </c>
      <c r="D18" s="178">
        <f>COUNTIFS(JOURNAL!I:I,"GBPCAD",JOURNAL!O:O,"SL")</f>
        <v>0</v>
      </c>
      <c r="E18" s="178">
        <f>COUNTIFS(JOURNAL!I:I,"GBPCAD",JOURNAL!O:O,"PS")</f>
        <v>0</v>
      </c>
      <c r="F18" s="178">
        <f>COUNTIFS(JOURNAL!I:I,"GBPCAD",JOURNAL!O:O,"LS")</f>
        <v>0</v>
      </c>
      <c r="G18" s="178">
        <f>COUNTIFS(JOURNAL!I:I,"GBPCAD",JOURNAL!O:O,"RF")</f>
        <v>0</v>
      </c>
      <c r="H18" s="178">
        <f>COUNTIFS(JOURNAL!I:I,"GBPCAD",JOURNAL!O:O,"OT +")</f>
        <v>0</v>
      </c>
      <c r="I18" s="178">
        <f>COUNTIFS(JOURNAL!I:I,"GBPCAD",JOURNAL!O:O,"OT -")</f>
        <v>0</v>
      </c>
      <c r="J18" s="178">
        <f t="shared" si="0"/>
        <v>0</v>
      </c>
      <c r="K18" s="179">
        <f>SUMIF(JOURNAL!I:I,"GBPCAD",JOURNAL!Q:Q)</f>
        <v>0</v>
      </c>
      <c r="L18" s="179" t="e">
        <f t="shared" si="1"/>
        <v>#DIV/0!</v>
      </c>
    </row>
    <row r="19" spans="1:12" ht="15.75" x14ac:dyDescent="0.25">
      <c r="A19" s="180">
        <v>18</v>
      </c>
      <c r="B19" s="5" t="s">
        <v>138</v>
      </c>
      <c r="C19" s="166">
        <f>COUNTIFS(JOURNAL!I:I,"GBPCHF",JOURNAL!O:O,"TP")</f>
        <v>0</v>
      </c>
      <c r="D19" s="166">
        <f>COUNTIFS(JOURNAL!I:I,"GBPCHF",JOURNAL!O:O,"SL")</f>
        <v>0</v>
      </c>
      <c r="E19" s="166">
        <f>COUNTIFS(JOURNAL!I:I,"GBPCHF",JOURNAL!O:O,"PS")</f>
        <v>0</v>
      </c>
      <c r="F19" s="166">
        <f>COUNTIFS(JOURNAL!I:I,"GBPCHF",JOURNAL!O:O,"LS")</f>
        <v>0</v>
      </c>
      <c r="G19" s="166">
        <f>COUNTIFS(JOURNAL!I:I,"GBPCHF",JOURNAL!O:O,"RF")</f>
        <v>0</v>
      </c>
      <c r="H19" s="166">
        <f>COUNTIFS(JOURNAL!I:I,"GBPCHF",JOURNAL!O:O,"OT +")</f>
        <v>0</v>
      </c>
      <c r="I19" s="166">
        <f>COUNTIFS(JOURNAL!I:I,"GBPCHF",JOURNAL!O:O,"OT -")</f>
        <v>0</v>
      </c>
      <c r="J19" s="180">
        <f t="shared" si="0"/>
        <v>0</v>
      </c>
      <c r="K19" s="164">
        <f>SUMIF(JOURNAL!I:I,"GBPCHF",JOURNAL!Q:Q)</f>
        <v>0</v>
      </c>
      <c r="L19" s="181" t="e">
        <f t="shared" si="1"/>
        <v>#DIV/0!</v>
      </c>
    </row>
    <row r="20" spans="1:12" ht="15.75" x14ac:dyDescent="0.25">
      <c r="A20" s="178">
        <v>19</v>
      </c>
      <c r="B20" s="25" t="s">
        <v>139</v>
      </c>
      <c r="C20" s="178">
        <f>COUNTIFS(JOURNAL!I:I,"GBPNZD",JOURNAL!O:O,"TP")</f>
        <v>0</v>
      </c>
      <c r="D20" s="178">
        <f>COUNTIFS(JOURNAL!I:I,"GBPNZD",JOURNAL!O:O,"SL")</f>
        <v>0</v>
      </c>
      <c r="E20" s="178">
        <f>COUNTIFS(JOURNAL!I:I,"GBPNZD",JOURNAL!O:O,"PS")</f>
        <v>0</v>
      </c>
      <c r="F20" s="178">
        <f>COUNTIFS(JOURNAL!I:I,"GBPNZD",JOURNAL!O:O,"LS")</f>
        <v>0</v>
      </c>
      <c r="G20" s="178">
        <f>COUNTIFS(JOURNAL!I:I,"GBPNZD",JOURNAL!O:O,"RF")</f>
        <v>0</v>
      </c>
      <c r="H20" s="178">
        <f>COUNTIFS(JOURNAL!I:I,"GBPNZD",JOURNAL!O:O,"OT +")</f>
        <v>0</v>
      </c>
      <c r="I20" s="178">
        <f>COUNTIFS(JOURNAL!I:I,"GBPNZD",JOURNAL!O:O,"OT -")</f>
        <v>0</v>
      </c>
      <c r="J20" s="178">
        <f t="shared" si="0"/>
        <v>0</v>
      </c>
      <c r="K20" s="179">
        <f>SUMIF(JOURNAL!I:I,"GBPNZD",JOURNAL!Q:Q)</f>
        <v>0</v>
      </c>
      <c r="L20" s="179" t="e">
        <f t="shared" si="1"/>
        <v>#DIV/0!</v>
      </c>
    </row>
    <row r="21" spans="1:12" ht="15.75" x14ac:dyDescent="0.25">
      <c r="A21" s="180">
        <v>20</v>
      </c>
      <c r="B21" s="5" t="s">
        <v>140</v>
      </c>
      <c r="C21" s="166">
        <f>COUNTIFS(JOURNAL!I:I,"GBPUSD",JOURNAL!O:O,"TP")</f>
        <v>0</v>
      </c>
      <c r="D21" s="166">
        <f>COUNTIFS(JOURNAL!I:I,"GBPUSD",JOURNAL!O:O,"SL")</f>
        <v>0</v>
      </c>
      <c r="E21" s="166">
        <f>COUNTIFS(JOURNAL!I:I,"GBPUSD",JOURNAL!O:O,"PS")</f>
        <v>0</v>
      </c>
      <c r="F21" s="166">
        <f>COUNTIFS(JOURNAL!I:I,"GBPUSD",JOURNAL!O:O,"LS")</f>
        <v>0</v>
      </c>
      <c r="G21" s="166">
        <f>COUNTIFS(JOURNAL!I:I,"GBPUSD",JOURNAL!O:O,"RF")</f>
        <v>0</v>
      </c>
      <c r="H21" s="166">
        <f>COUNTIFS(JOURNAL!I:I,"GBPUSD",JOURNAL!O:O,"OT +")</f>
        <v>0</v>
      </c>
      <c r="I21" s="166">
        <f>COUNTIFS(JOURNAL!I:I,"GBPUSD",JOURNAL!O:O,"OT -")</f>
        <v>0</v>
      </c>
      <c r="J21" s="180">
        <f t="shared" si="0"/>
        <v>0</v>
      </c>
      <c r="K21" s="164">
        <f>SUMIF(JOURNAL!I:I,"GBPUSD",JOURNAL!Q:Q)</f>
        <v>0</v>
      </c>
      <c r="L21" s="181" t="e">
        <f t="shared" si="1"/>
        <v>#DIV/0!</v>
      </c>
    </row>
    <row r="22" spans="1:12" ht="15.75" x14ac:dyDescent="0.25">
      <c r="A22" s="178">
        <v>21</v>
      </c>
      <c r="B22" s="25" t="s">
        <v>141</v>
      </c>
      <c r="C22" s="178">
        <f>COUNTIFS(JOURNAL!I:I,"GBPJPY",JOURNAL!O:O,"TP")</f>
        <v>0</v>
      </c>
      <c r="D22" s="178">
        <f>COUNTIFS(JOURNAL!I:I,"GBPJPY",JOURNAL!O:O,"SL")</f>
        <v>0</v>
      </c>
      <c r="E22" s="178">
        <f>COUNTIFS(JOURNAL!I:I,"GBPJPY",JOURNAL!O:O,"PS")</f>
        <v>0</v>
      </c>
      <c r="F22" s="178">
        <f>COUNTIFS(JOURNAL!I:I,"GBPJPY",JOURNAL!O:O,"LS")</f>
        <v>0</v>
      </c>
      <c r="G22" s="178">
        <f>COUNTIFS(JOURNAL!I:I,"GBPJPY",JOURNAL!O:O,"RF")</f>
        <v>0</v>
      </c>
      <c r="H22" s="178">
        <f>COUNTIFS(JOURNAL!I:I,"GBPJPY",JOURNAL!O:O,"OT +")</f>
        <v>0</v>
      </c>
      <c r="I22" s="178">
        <f>COUNTIFS(JOURNAL!I:I,"GBPJPY",JOURNAL!O:O,"OT -")</f>
        <v>0</v>
      </c>
      <c r="J22" s="178">
        <f t="shared" si="0"/>
        <v>0</v>
      </c>
      <c r="K22" s="179">
        <f>SUMIF(JOURNAL!I:I,"GBPJPY",JOURNAL!Q:Q)</f>
        <v>0</v>
      </c>
      <c r="L22" s="179" t="e">
        <f t="shared" si="1"/>
        <v>#DIV/0!</v>
      </c>
    </row>
    <row r="23" spans="1:12" ht="15.75" x14ac:dyDescent="0.25">
      <c r="A23" s="180">
        <v>22</v>
      </c>
      <c r="B23" s="5" t="s">
        <v>142</v>
      </c>
      <c r="C23" s="166">
        <f>COUNTIFS(JOURNAL!I:I,"NZDCAD",JOURNAL!O:O,"TP")</f>
        <v>0</v>
      </c>
      <c r="D23" s="166">
        <f>COUNTIFS(JOURNAL!I:I,"NZDCAD",JOURNAL!O:O,"SL")</f>
        <v>0</v>
      </c>
      <c r="E23" s="166">
        <f>COUNTIFS(JOURNAL!I:I,"NZDCAD",JOURNAL!O:O,"PS")</f>
        <v>0</v>
      </c>
      <c r="F23" s="166">
        <f>COUNTIFS(JOURNAL!I:I,"NZDCAD",JOURNAL!O:O,"LS")</f>
        <v>0</v>
      </c>
      <c r="G23" s="166">
        <f>COUNTIFS(JOURNAL!I:I,"NZDCAD",JOURNAL!O:O,"RF")</f>
        <v>0</v>
      </c>
      <c r="H23" s="166">
        <f>COUNTIFS(JOURNAL!I:I,"NZDCAD",JOURNAL!O:O,"OT +")</f>
        <v>0</v>
      </c>
      <c r="I23" s="166">
        <f>COUNTIFS(JOURNAL!I:I,"NZDCAD",JOURNAL!O:O,"OT -")</f>
        <v>0</v>
      </c>
      <c r="J23" s="180">
        <f t="shared" si="0"/>
        <v>0</v>
      </c>
      <c r="K23" s="164">
        <f>SUMIF(JOURNAL!I:I,"NZDCAD",JOURNAL!Q:Q)</f>
        <v>0</v>
      </c>
      <c r="L23" s="181" t="e">
        <f t="shared" si="1"/>
        <v>#DIV/0!</v>
      </c>
    </row>
    <row r="24" spans="1:12" ht="15.75" x14ac:dyDescent="0.25">
      <c r="A24" s="178">
        <v>23</v>
      </c>
      <c r="B24" s="25" t="s">
        <v>143</v>
      </c>
      <c r="C24" s="178">
        <f>COUNTIFS(JOURNAL!I:I,"NZDCHF",JOURNAL!O:O,"TP")</f>
        <v>0</v>
      </c>
      <c r="D24" s="178">
        <f>COUNTIFS(JOURNAL!I:I,"NZDCHF",JOURNAL!O:O,"SL")</f>
        <v>0</v>
      </c>
      <c r="E24" s="178">
        <f>COUNTIFS(JOURNAL!I:I,"NZDCHF",JOURNAL!O:O,"PS")</f>
        <v>0</v>
      </c>
      <c r="F24" s="178">
        <f>COUNTIFS(JOURNAL!I:I,"NZDCHF",JOURNAL!O:O,"LS")</f>
        <v>0</v>
      </c>
      <c r="G24" s="178">
        <f>COUNTIFS(JOURNAL!I:I,"NZDCHF",JOURNAL!O:O,"RF")</f>
        <v>0</v>
      </c>
      <c r="H24" s="178">
        <f>COUNTIFS(JOURNAL!I:I,"NZDCHF",JOURNAL!O:O,"OT +")</f>
        <v>0</v>
      </c>
      <c r="I24" s="178">
        <f>COUNTIFS(JOURNAL!I:I,"NZDCHF",JOURNAL!O:O,"OT -")</f>
        <v>0</v>
      </c>
      <c r="J24" s="178">
        <f t="shared" si="0"/>
        <v>0</v>
      </c>
      <c r="K24" s="179">
        <f>SUMIF(JOURNAL!I:I,"NZDCHF",JOURNAL!Q:Q)</f>
        <v>0</v>
      </c>
      <c r="L24" s="179" t="e">
        <f t="shared" si="1"/>
        <v>#DIV/0!</v>
      </c>
    </row>
    <row r="25" spans="1:12" ht="15.75" x14ac:dyDescent="0.25">
      <c r="A25" s="180">
        <v>24</v>
      </c>
      <c r="B25" s="5" t="s">
        <v>144</v>
      </c>
      <c r="C25" s="166">
        <f>COUNTIFS(JOURNAL!I:I,"NZDUSD",JOURNAL!O:O,"TP")</f>
        <v>0</v>
      </c>
      <c r="D25" s="166">
        <f>COUNTIFS(JOURNAL!I:I,"NZDUSD",JOURNAL!O:O,"SL")</f>
        <v>0</v>
      </c>
      <c r="E25" s="166">
        <f>COUNTIFS(JOURNAL!I:I,"NZDUSD",JOURNAL!O:O,"PS")</f>
        <v>0</v>
      </c>
      <c r="F25" s="166">
        <f>COUNTIFS(JOURNAL!I:I,"NZDUSD",JOURNAL!O:O,"LS")</f>
        <v>0</v>
      </c>
      <c r="G25" s="166">
        <f>COUNTIFS(JOURNAL!I:I,"NZDUSD",JOURNAL!O:O,"RF")</f>
        <v>0</v>
      </c>
      <c r="H25" s="166">
        <f>COUNTIFS(JOURNAL!I:I,"NZDUSD",JOURNAL!O:O,"OT +")</f>
        <v>0</v>
      </c>
      <c r="I25" s="166">
        <f>COUNTIFS(JOURNAL!I:I,"NZDUSD",JOURNAL!O:O,"OT -")</f>
        <v>0</v>
      </c>
      <c r="J25" s="180">
        <f t="shared" si="0"/>
        <v>0</v>
      </c>
      <c r="K25" s="164">
        <f>SUMIF(JOURNAL!I:I,"NZDUSD",JOURNAL!Q:Q)</f>
        <v>0</v>
      </c>
      <c r="L25" s="181" t="e">
        <f t="shared" si="1"/>
        <v>#DIV/0!</v>
      </c>
    </row>
    <row r="26" spans="1:12" ht="15.75" x14ac:dyDescent="0.25">
      <c r="A26" s="178">
        <v>25</v>
      </c>
      <c r="B26" s="25" t="s">
        <v>145</v>
      </c>
      <c r="C26" s="178">
        <f>COUNTIFS(JOURNAL!I:I,"NZDJPY",JOURNAL!O:O,"TP")</f>
        <v>0</v>
      </c>
      <c r="D26" s="178">
        <f>COUNTIFS(JOURNAL!I:I,"NZDJPY",JOURNAL!O:O,"SL")</f>
        <v>0</v>
      </c>
      <c r="E26" s="178">
        <f>COUNTIFS(JOURNAL!I:I,"NZDJPY",JOURNAL!O:O,"PS")</f>
        <v>0</v>
      </c>
      <c r="F26" s="178">
        <f>COUNTIFS(JOURNAL!I:I,"NZDJPY",JOURNAL!O:O,"LS")</f>
        <v>0</v>
      </c>
      <c r="G26" s="178">
        <f>COUNTIFS(JOURNAL!I:I,"NZDJPY",JOURNAL!O:O,"RF")</f>
        <v>0</v>
      </c>
      <c r="H26" s="178">
        <f>COUNTIFS(JOURNAL!I:I,"NZDJPY",JOURNAL!O:O,"OT +")</f>
        <v>0</v>
      </c>
      <c r="I26" s="178">
        <f>COUNTIFS(JOURNAL!I:I,"NZDJPY",JOURNAL!O:O,"OT -")</f>
        <v>0</v>
      </c>
      <c r="J26" s="178">
        <f t="shared" si="0"/>
        <v>0</v>
      </c>
      <c r="K26" s="179">
        <f>SUMIF(JOURNAL!I:I,"NZDJPY",JOURNAL!Q:Q)</f>
        <v>0</v>
      </c>
      <c r="L26" s="179" t="e">
        <f t="shared" si="1"/>
        <v>#DIV/0!</v>
      </c>
    </row>
    <row r="27" spans="1:12" ht="15.75" x14ac:dyDescent="0.25">
      <c r="A27" s="180">
        <v>26</v>
      </c>
      <c r="B27" s="5" t="s">
        <v>146</v>
      </c>
      <c r="C27" s="166">
        <f>COUNTIFS(JOURNAL!I:I,"USDCAD",JOURNAL!O:O,"TP")</f>
        <v>0</v>
      </c>
      <c r="D27" s="166">
        <f>COUNTIFS(JOURNAL!I:I,"USDCAD",JOURNAL!O:O,"SL")</f>
        <v>0</v>
      </c>
      <c r="E27" s="166">
        <f>COUNTIFS(JOURNAL!I:I,"USDCAD",JOURNAL!O:O,"PS")</f>
        <v>0</v>
      </c>
      <c r="F27" s="166">
        <f>COUNTIFS(JOURNAL!I:I,"USDCAD",JOURNAL!O:O,"LS")</f>
        <v>0</v>
      </c>
      <c r="G27" s="166">
        <f>COUNTIFS(JOURNAL!I:I,"USDCAD",JOURNAL!O:O,"RF")</f>
        <v>0</v>
      </c>
      <c r="H27" s="166">
        <f>COUNTIFS(JOURNAL!I:I,"USDCAD",JOURNAL!O:O,"OT +")</f>
        <v>0</v>
      </c>
      <c r="I27" s="166">
        <f>COUNTIFS(JOURNAL!I:I,"USDCAD",JOURNAL!O:O,"OT -")</f>
        <v>0</v>
      </c>
      <c r="J27" s="180">
        <f t="shared" si="0"/>
        <v>0</v>
      </c>
      <c r="K27" s="164">
        <f>SUMIF(JOURNAL!I:I,"USDCAD",JOURNAL!Q:Q)</f>
        <v>0</v>
      </c>
      <c r="L27" s="181" t="e">
        <f t="shared" si="1"/>
        <v>#DIV/0!</v>
      </c>
    </row>
    <row r="28" spans="1:12" ht="15.75" x14ac:dyDescent="0.25">
      <c r="A28" s="178">
        <v>27</v>
      </c>
      <c r="B28" s="25" t="s">
        <v>147</v>
      </c>
      <c r="C28" s="178">
        <f>COUNTIFS(JOURNAL!I:I,"USDCHF",JOURNAL!O:O,"TP")</f>
        <v>0</v>
      </c>
      <c r="D28" s="178">
        <f>COUNTIFS(JOURNAL!I:I,"USDCHF",JOURNAL!O:O,"SL")</f>
        <v>0</v>
      </c>
      <c r="E28" s="178">
        <f>COUNTIFS(JOURNAL!I:I,"USDCHF",JOURNAL!O:O,"PS")</f>
        <v>0</v>
      </c>
      <c r="F28" s="178">
        <f>COUNTIFS(JOURNAL!I:I,"USDCHF",JOURNAL!O:O,"LS")</f>
        <v>0</v>
      </c>
      <c r="G28" s="178">
        <f>COUNTIFS(JOURNAL!I:I,"USDCHF",JOURNAL!O:O,"RF")</f>
        <v>0</v>
      </c>
      <c r="H28" s="178">
        <f>COUNTIFS(JOURNAL!I:I,"USDCHF",JOURNAL!O:O,"OT +")</f>
        <v>0</v>
      </c>
      <c r="I28" s="178">
        <f>COUNTIFS(JOURNAL!I:I,"USDCHF",JOURNAL!O:O,"OT -")</f>
        <v>0</v>
      </c>
      <c r="J28" s="178">
        <f t="shared" si="0"/>
        <v>0</v>
      </c>
      <c r="K28" s="179">
        <f>SUMIF(JOURNAL!I:I,"USDCHF",JOURNAL!Q:Q)</f>
        <v>0</v>
      </c>
      <c r="L28" s="179" t="e">
        <f t="shared" si="1"/>
        <v>#DIV/0!</v>
      </c>
    </row>
    <row r="29" spans="1:12" ht="15.75" x14ac:dyDescent="0.25">
      <c r="A29" s="180">
        <v>28</v>
      </c>
      <c r="B29" s="5" t="s">
        <v>148</v>
      </c>
      <c r="C29" s="166">
        <f>COUNTIFS(JOURNAL!I:I,"USDJPY",JOURNAL!O:O,"TP")</f>
        <v>0</v>
      </c>
      <c r="D29" s="166">
        <f>COUNTIFS(JOURNAL!I:I,"USDJPY",JOURNAL!O:O,"SL")</f>
        <v>0</v>
      </c>
      <c r="E29" s="166">
        <f>COUNTIFS(JOURNAL!I:I,"USDJPY",JOURNAL!O:O,"PS")</f>
        <v>0</v>
      </c>
      <c r="F29" s="166">
        <f>COUNTIFS(JOURNAL!I:I,"USDJPY",JOURNAL!O:O,"LS")</f>
        <v>0</v>
      </c>
      <c r="G29" s="166">
        <f>COUNTIFS(JOURNAL!I:I,"USDJPY",JOURNAL!O:O,"RF")</f>
        <v>0</v>
      </c>
      <c r="H29" s="166">
        <f>COUNTIFS(JOURNAL!I:I,"USDJPY",JOURNAL!O:O,"OT +")</f>
        <v>0</v>
      </c>
      <c r="I29" s="166">
        <f>COUNTIFS(JOURNAL!I:I,"USDJPY",JOURNAL!O:O,"OT -")</f>
        <v>0</v>
      </c>
      <c r="J29" s="180">
        <f t="shared" si="0"/>
        <v>0</v>
      </c>
      <c r="K29" s="164">
        <f>SUMIF(JOURNAL!I:I,"USDJPY",JOURNAL!Q:Q)</f>
        <v>0</v>
      </c>
      <c r="L29" s="181" t="e">
        <f t="shared" si="1"/>
        <v>#DIV/0!</v>
      </c>
    </row>
    <row r="30" spans="1:12" ht="15.75" x14ac:dyDescent="0.25">
      <c r="A30" s="178">
        <v>29</v>
      </c>
      <c r="B30" s="25" t="s">
        <v>149</v>
      </c>
      <c r="C30" s="178">
        <f>COUNTIFS(JOURNAL!I:I,"OIL",JOURNAL!O:O,"TP")</f>
        <v>0</v>
      </c>
      <c r="D30" s="178">
        <f>COUNTIFS(JOURNAL!I:I,"OIL",JOURNAL!O:O,"SL")</f>
        <v>0</v>
      </c>
      <c r="E30" s="178">
        <f>COUNTIFS(JOURNAL!I:I,"OIL",JOURNAL!O:O,"PS")</f>
        <v>0</v>
      </c>
      <c r="F30" s="178">
        <f>COUNTIFS(JOURNAL!I:I,"OIL",JOURNAL!O:O,"LS")</f>
        <v>0</v>
      </c>
      <c r="G30" s="178">
        <f>COUNTIFS(JOURNAL!I:I,"OIL",JOURNAL!O:O,"RF")</f>
        <v>0</v>
      </c>
      <c r="H30" s="178">
        <f>COUNTIFS(JOURNAL!I:I,"OIL",JOURNAL!O:O,"OT +")</f>
        <v>0</v>
      </c>
      <c r="I30" s="178">
        <f>COUNTIFS(JOURNAL!I:I,"OIL",JOURNAL!O:O,"OT -")</f>
        <v>0</v>
      </c>
      <c r="J30" s="178">
        <f t="shared" si="0"/>
        <v>0</v>
      </c>
      <c r="K30" s="179">
        <f>SUMIF(JOURNAL!I:I,"OIL",JOURNAL!Q:Q)</f>
        <v>0</v>
      </c>
      <c r="L30" s="179" t="e">
        <f t="shared" si="1"/>
        <v>#DIV/0!</v>
      </c>
    </row>
    <row r="31" spans="1:12" ht="15.75" x14ac:dyDescent="0.25">
      <c r="A31" s="180">
        <v>30</v>
      </c>
      <c r="B31" s="5" t="s">
        <v>150</v>
      </c>
      <c r="C31" s="166">
        <f>COUNTIFS(JOURNAL!I:I,"XAUUSD",JOURNAL!O:O,"TP")</f>
        <v>0</v>
      </c>
      <c r="D31" s="166">
        <f>COUNTIFS(JOURNAL!I:I,"XAUUSD",JOURNAL!O:O,"SL")</f>
        <v>0</v>
      </c>
      <c r="E31" s="166">
        <f>COUNTIFS(JOURNAL!I:I,"XAUUSD",JOURNAL!O:O,"PS")</f>
        <v>0</v>
      </c>
      <c r="F31" s="166">
        <f>COUNTIFS(JOURNAL!I:I,"XAUUSD",JOURNAL!O:O,"LS")</f>
        <v>0</v>
      </c>
      <c r="G31" s="166">
        <f>COUNTIFS(JOURNAL!I:I,"XAUUSD",JOURNAL!O:O,"RF")</f>
        <v>0</v>
      </c>
      <c r="H31" s="166">
        <f>COUNTIFS(JOURNAL!I:I,"XAUUSD",JOURNAL!O:O,"OT +")</f>
        <v>0</v>
      </c>
      <c r="I31" s="166">
        <f>COUNTIFS(JOURNAL!I:I,"XAUUSD",JOURNAL!O:O,"OT -")</f>
        <v>0</v>
      </c>
      <c r="J31" s="180">
        <f t="shared" si="0"/>
        <v>0</v>
      </c>
      <c r="K31" s="164">
        <f>SUMIF(JOURNAL!I:I,"XAUUSD",JOURNAL!Q:Q)</f>
        <v>0</v>
      </c>
      <c r="L31" s="181" t="e">
        <f t="shared" si="1"/>
        <v>#DIV/0!</v>
      </c>
    </row>
  </sheetData>
  <sheetProtection algorithmName="SHA-512" hashValue="kXgnDb4dgFnjn4SqH8pPgZFG2jb6qByLR9y5hez4Upn5t23Rh3uajbBHbTmzwcJmXxxik28Yp3tmGZgixERjWg==" saltValue="EzSMqK9hECu9HE9kpl0DyA==" spinCount="100000" sheet="1" objects="1" scenarios="1"/>
  <conditionalFormatting sqref="K2:L31">
    <cfRule type="cellIs" dxfId="36" priority="1" operator="lessThan">
      <formula>0</formula>
    </cfRule>
    <cfRule type="cellIs" dxfId="35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Y59"/>
  <sheetViews>
    <sheetView topLeftCell="F1" zoomScale="110" zoomScaleNormal="110" workbookViewId="0">
      <selection activeCell="H14" sqref="H14"/>
    </sheetView>
  </sheetViews>
  <sheetFormatPr defaultRowHeight="15.75" x14ac:dyDescent="0.25"/>
  <cols>
    <col min="3" max="3" width="16.140625" customWidth="1"/>
    <col min="5" max="5" width="11.42578125" customWidth="1"/>
    <col min="7" max="7" width="13.140625" style="2" customWidth="1"/>
    <col min="8" max="8" width="17.5703125" style="9" customWidth="1"/>
    <col min="9" max="9" width="21" style="2" customWidth="1"/>
    <col min="10" max="10" width="12.5703125" style="2" customWidth="1"/>
    <col min="11" max="11" width="14.5703125" style="1" customWidth="1"/>
    <col min="12" max="12" width="15.85546875" customWidth="1"/>
    <col min="13" max="13" width="14.42578125" style="2" customWidth="1"/>
    <col min="15" max="15" width="10.7109375" customWidth="1"/>
    <col min="16" max="16" width="11.42578125" customWidth="1"/>
    <col min="17" max="17" width="14" customWidth="1"/>
    <col min="18" max="18" width="6.28515625" customWidth="1"/>
    <col min="19" max="19" width="5.85546875" customWidth="1"/>
    <col min="20" max="20" width="7.7109375" customWidth="1"/>
    <col min="21" max="21" width="8.28515625" customWidth="1"/>
    <col min="22" max="22" width="5.85546875" customWidth="1"/>
    <col min="24" max="24" width="9" customWidth="1"/>
    <col min="25" max="25" width="6.42578125" customWidth="1"/>
    <col min="28" max="28" width="6.7109375" customWidth="1"/>
    <col min="31" max="31" width="6.5703125" customWidth="1"/>
    <col min="34" max="34" width="6" customWidth="1"/>
    <col min="37" max="37" width="5.85546875" customWidth="1"/>
    <col min="40" max="40" width="6" customWidth="1"/>
    <col min="43" max="43" width="6.7109375" customWidth="1"/>
    <col min="46" max="46" width="7.28515625" customWidth="1"/>
    <col min="49" max="49" width="6.5703125" customWidth="1"/>
  </cols>
  <sheetData>
    <row r="2" spans="3:51" x14ac:dyDescent="0.25">
      <c r="N2" s="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8"/>
      <c r="AA2" s="8"/>
    </row>
    <row r="3" spans="3:51" x14ac:dyDescent="0.25">
      <c r="N3" s="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8"/>
      <c r="AA3" s="8"/>
    </row>
    <row r="4" spans="3:51" x14ac:dyDescent="0.25">
      <c r="C4" s="12" t="s">
        <v>0</v>
      </c>
      <c r="D4" s="13" t="s">
        <v>2</v>
      </c>
      <c r="E4" s="13" t="s">
        <v>3</v>
      </c>
      <c r="F4" s="13" t="s">
        <v>41</v>
      </c>
      <c r="G4" s="11" t="s">
        <v>5</v>
      </c>
      <c r="H4" s="18" t="s">
        <v>17</v>
      </c>
      <c r="I4" s="11" t="s">
        <v>58</v>
      </c>
      <c r="J4" s="11" t="s">
        <v>22</v>
      </c>
      <c r="K4" s="12" t="s">
        <v>26</v>
      </c>
      <c r="L4" s="13" t="s">
        <v>35</v>
      </c>
      <c r="M4" s="11" t="s">
        <v>40</v>
      </c>
      <c r="N4" s="162">
        <v>1</v>
      </c>
      <c r="O4" s="5" t="s">
        <v>121</v>
      </c>
      <c r="Q4" s="1"/>
      <c r="R4" s="1"/>
      <c r="S4" s="8"/>
      <c r="T4" s="8"/>
    </row>
    <row r="5" spans="3:51" x14ac:dyDescent="0.25">
      <c r="C5" s="14" t="s">
        <v>50</v>
      </c>
      <c r="D5" s="7" t="s">
        <v>62</v>
      </c>
      <c r="E5" s="15">
        <v>0.33333333333333331</v>
      </c>
      <c r="F5" s="300"/>
      <c r="G5" s="7" t="s">
        <v>6</v>
      </c>
      <c r="H5" s="16">
        <v>2</v>
      </c>
      <c r="I5" s="7" t="s">
        <v>18</v>
      </c>
      <c r="J5" s="7" t="s">
        <v>24</v>
      </c>
      <c r="K5" s="23" t="s">
        <v>27</v>
      </c>
      <c r="L5" s="20" t="s">
        <v>36</v>
      </c>
      <c r="M5" s="23" t="s">
        <v>38</v>
      </c>
      <c r="N5" s="162">
        <v>2</v>
      </c>
      <c r="O5" s="5" t="s">
        <v>122</v>
      </c>
      <c r="Q5" s="1"/>
      <c r="R5" s="273" t="s">
        <v>68</v>
      </c>
      <c r="S5" s="270" t="s">
        <v>6</v>
      </c>
      <c r="T5" s="54" t="s">
        <v>27</v>
      </c>
      <c r="U5" s="163"/>
      <c r="V5" s="270" t="s">
        <v>160</v>
      </c>
      <c r="W5" s="54" t="s">
        <v>27</v>
      </c>
      <c r="X5" s="163"/>
      <c r="Y5" s="270" t="s">
        <v>9</v>
      </c>
      <c r="Z5" s="54" t="s">
        <v>27</v>
      </c>
      <c r="AA5" s="163"/>
      <c r="AB5" s="270" t="s">
        <v>10</v>
      </c>
      <c r="AC5" s="54" t="s">
        <v>27</v>
      </c>
      <c r="AD5" s="163"/>
      <c r="AE5" s="270" t="s">
        <v>8</v>
      </c>
      <c r="AF5" s="54" t="s">
        <v>27</v>
      </c>
      <c r="AG5" s="163"/>
      <c r="AH5" s="270" t="s">
        <v>11</v>
      </c>
      <c r="AI5" s="54" t="s">
        <v>27</v>
      </c>
      <c r="AJ5" s="163"/>
      <c r="AK5" s="270" t="s">
        <v>12</v>
      </c>
      <c r="AL5" s="54" t="s">
        <v>27</v>
      </c>
      <c r="AM5" s="163"/>
      <c r="AN5" s="270" t="s">
        <v>13</v>
      </c>
      <c r="AO5" s="54" t="s">
        <v>27</v>
      </c>
      <c r="AP5" s="163"/>
      <c r="AQ5" s="270" t="s">
        <v>14</v>
      </c>
      <c r="AR5" s="54" t="s">
        <v>27</v>
      </c>
      <c r="AS5" s="163"/>
      <c r="AT5" s="270" t="s">
        <v>15</v>
      </c>
      <c r="AU5" s="54" t="s">
        <v>27</v>
      </c>
      <c r="AV5" s="163"/>
      <c r="AW5" s="270" t="s">
        <v>16</v>
      </c>
      <c r="AX5" s="54" t="s">
        <v>27</v>
      </c>
      <c r="AY5" s="163"/>
    </row>
    <row r="6" spans="3:51" ht="15.75" customHeight="1" x14ac:dyDescent="0.25">
      <c r="C6" s="14" t="s">
        <v>51</v>
      </c>
      <c r="D6" s="7" t="s">
        <v>63</v>
      </c>
      <c r="E6" s="15">
        <v>0.42708333333333331</v>
      </c>
      <c r="F6" s="300"/>
      <c r="G6" s="7" t="s">
        <v>7</v>
      </c>
      <c r="H6" s="16">
        <v>3</v>
      </c>
      <c r="I6" s="7" t="s">
        <v>19</v>
      </c>
      <c r="J6" s="7" t="s">
        <v>23</v>
      </c>
      <c r="K6" s="19" t="s">
        <v>29</v>
      </c>
      <c r="L6" s="21" t="s">
        <v>28</v>
      </c>
      <c r="M6" s="24" t="s">
        <v>37</v>
      </c>
      <c r="N6" s="162">
        <v>3</v>
      </c>
      <c r="O6" s="5" t="s">
        <v>123</v>
      </c>
      <c r="Q6" s="1"/>
      <c r="R6" s="273"/>
      <c r="S6" s="271"/>
      <c r="T6" s="55" t="s">
        <v>29</v>
      </c>
      <c r="U6" s="163"/>
      <c r="V6" s="271"/>
      <c r="W6" s="55" t="s">
        <v>29</v>
      </c>
      <c r="X6" s="163"/>
      <c r="Y6" s="271"/>
      <c r="Z6" s="55" t="s">
        <v>29</v>
      </c>
      <c r="AA6" s="163"/>
      <c r="AB6" s="271"/>
      <c r="AC6" s="55" t="s">
        <v>29</v>
      </c>
      <c r="AD6" s="163"/>
      <c r="AE6" s="271"/>
      <c r="AF6" s="55" t="s">
        <v>29</v>
      </c>
      <c r="AG6" s="163"/>
      <c r="AH6" s="271"/>
      <c r="AI6" s="55" t="s">
        <v>29</v>
      </c>
      <c r="AJ6" s="163"/>
      <c r="AK6" s="271"/>
      <c r="AL6" s="55" t="s">
        <v>29</v>
      </c>
      <c r="AM6" s="163"/>
      <c r="AN6" s="271"/>
      <c r="AO6" s="55" t="s">
        <v>29</v>
      </c>
      <c r="AP6" s="163"/>
      <c r="AQ6" s="271"/>
      <c r="AR6" s="55" t="s">
        <v>29</v>
      </c>
      <c r="AS6" s="163"/>
      <c r="AT6" s="271"/>
      <c r="AU6" s="55" t="s">
        <v>29</v>
      </c>
      <c r="AV6" s="163"/>
      <c r="AW6" s="271"/>
      <c r="AX6" s="55" t="s">
        <v>29</v>
      </c>
      <c r="AY6" s="163"/>
    </row>
    <row r="7" spans="3:51" x14ac:dyDescent="0.25">
      <c r="C7" s="14" t="s">
        <v>52</v>
      </c>
      <c r="D7" s="7" t="s">
        <v>64</v>
      </c>
      <c r="E7" s="15">
        <v>0.4375</v>
      </c>
      <c r="F7" s="301"/>
      <c r="G7" s="7" t="s">
        <v>9</v>
      </c>
      <c r="H7" s="16">
        <v>4</v>
      </c>
      <c r="I7" s="7" t="s">
        <v>20</v>
      </c>
      <c r="J7" s="7"/>
      <c r="K7" s="27" t="s">
        <v>30</v>
      </c>
      <c r="L7" s="24" t="s">
        <v>37</v>
      </c>
      <c r="M7" s="21" t="s">
        <v>28</v>
      </c>
      <c r="N7" s="162">
        <v>4</v>
      </c>
      <c r="O7" s="5" t="s">
        <v>124</v>
      </c>
      <c r="Q7" s="1"/>
      <c r="R7" s="273"/>
      <c r="S7" s="271"/>
      <c r="T7" s="56" t="s">
        <v>32</v>
      </c>
      <c r="U7" s="163"/>
      <c r="V7" s="271"/>
      <c r="W7" s="56" t="s">
        <v>32</v>
      </c>
      <c r="X7" s="163"/>
      <c r="Y7" s="271"/>
      <c r="Z7" s="56" t="s">
        <v>32</v>
      </c>
      <c r="AA7" s="163"/>
      <c r="AB7" s="271"/>
      <c r="AC7" s="56" t="s">
        <v>32</v>
      </c>
      <c r="AD7" s="163"/>
      <c r="AE7" s="271"/>
      <c r="AF7" s="56" t="s">
        <v>32</v>
      </c>
      <c r="AG7" s="163"/>
      <c r="AH7" s="271"/>
      <c r="AI7" s="56" t="s">
        <v>32</v>
      </c>
      <c r="AJ7" s="163"/>
      <c r="AK7" s="271"/>
      <c r="AL7" s="56" t="s">
        <v>32</v>
      </c>
      <c r="AM7" s="163"/>
      <c r="AN7" s="271"/>
      <c r="AO7" s="56" t="s">
        <v>32</v>
      </c>
      <c r="AP7" s="163"/>
      <c r="AQ7" s="271"/>
      <c r="AR7" s="56" t="s">
        <v>32</v>
      </c>
      <c r="AS7" s="163"/>
      <c r="AT7" s="271"/>
      <c r="AU7" s="56" t="s">
        <v>32</v>
      </c>
      <c r="AV7" s="163"/>
      <c r="AW7" s="271"/>
      <c r="AX7" s="56" t="s">
        <v>32</v>
      </c>
      <c r="AY7" s="163"/>
    </row>
    <row r="8" spans="3:51" x14ac:dyDescent="0.25">
      <c r="C8" s="14" t="s">
        <v>53</v>
      </c>
      <c r="D8" s="6"/>
      <c r="E8" s="15">
        <v>0.51041666666666663</v>
      </c>
      <c r="F8" s="301"/>
      <c r="G8" s="7" t="s">
        <v>10</v>
      </c>
      <c r="H8" s="16">
        <v>50</v>
      </c>
      <c r="I8" s="7" t="s">
        <v>21</v>
      </c>
      <c r="J8" s="7"/>
      <c r="K8" s="28" t="s">
        <v>31</v>
      </c>
      <c r="L8" s="23" t="s">
        <v>38</v>
      </c>
      <c r="M8" s="25" t="s">
        <v>39</v>
      </c>
      <c r="N8" s="162">
        <v>5</v>
      </c>
      <c r="O8" s="5" t="s">
        <v>125</v>
      </c>
      <c r="Q8" s="1"/>
      <c r="R8" s="273"/>
      <c r="S8" s="271"/>
      <c r="T8" s="57" t="s">
        <v>30</v>
      </c>
      <c r="U8" s="163"/>
      <c r="V8" s="271"/>
      <c r="W8" s="57" t="s">
        <v>30</v>
      </c>
      <c r="X8" s="163"/>
      <c r="Y8" s="271"/>
      <c r="Z8" s="57" t="s">
        <v>30</v>
      </c>
      <c r="AA8" s="163"/>
      <c r="AB8" s="271"/>
      <c r="AC8" s="57" t="s">
        <v>30</v>
      </c>
      <c r="AD8" s="163"/>
      <c r="AE8" s="271"/>
      <c r="AF8" s="57" t="s">
        <v>30</v>
      </c>
      <c r="AG8" s="163"/>
      <c r="AH8" s="271"/>
      <c r="AI8" s="57" t="s">
        <v>30</v>
      </c>
      <c r="AJ8" s="163"/>
      <c r="AK8" s="271"/>
      <c r="AL8" s="57" t="s">
        <v>30</v>
      </c>
      <c r="AM8" s="163"/>
      <c r="AN8" s="271"/>
      <c r="AO8" s="57" t="s">
        <v>30</v>
      </c>
      <c r="AP8" s="163"/>
      <c r="AQ8" s="271"/>
      <c r="AR8" s="57" t="s">
        <v>30</v>
      </c>
      <c r="AS8" s="163"/>
      <c r="AT8" s="271"/>
      <c r="AU8" s="57" t="s">
        <v>30</v>
      </c>
      <c r="AV8" s="163"/>
      <c r="AW8" s="271"/>
      <c r="AX8" s="57" t="s">
        <v>30</v>
      </c>
      <c r="AY8" s="163"/>
    </row>
    <row r="9" spans="3:51" x14ac:dyDescent="0.25">
      <c r="C9" s="14" t="s">
        <v>54</v>
      </c>
      <c r="D9" s="6"/>
      <c r="E9" s="15">
        <v>0.52083333333333337</v>
      </c>
      <c r="F9" s="302"/>
      <c r="G9" s="7" t="s">
        <v>8</v>
      </c>
      <c r="H9" s="16">
        <v>30</v>
      </c>
      <c r="I9" s="7" t="s">
        <v>59</v>
      </c>
      <c r="J9" s="7"/>
      <c r="K9" s="22" t="s">
        <v>32</v>
      </c>
      <c r="L9" s="25" t="s">
        <v>39</v>
      </c>
      <c r="M9" s="22" t="s">
        <v>32</v>
      </c>
      <c r="N9" s="162">
        <v>6</v>
      </c>
      <c r="O9" s="5" t="s">
        <v>126</v>
      </c>
      <c r="Q9" s="1"/>
      <c r="R9" s="273"/>
      <c r="S9" s="271"/>
      <c r="T9" s="58" t="s">
        <v>31</v>
      </c>
      <c r="U9" s="163"/>
      <c r="V9" s="271"/>
      <c r="W9" s="58" t="s">
        <v>31</v>
      </c>
      <c r="X9" s="163"/>
      <c r="Y9" s="271"/>
      <c r="Z9" s="58" t="s">
        <v>31</v>
      </c>
      <c r="AA9" s="163"/>
      <c r="AB9" s="271"/>
      <c r="AC9" s="58" t="s">
        <v>31</v>
      </c>
      <c r="AD9" s="163"/>
      <c r="AE9" s="271"/>
      <c r="AF9" s="58" t="s">
        <v>31</v>
      </c>
      <c r="AG9" s="163"/>
      <c r="AH9" s="271"/>
      <c r="AI9" s="58" t="s">
        <v>31</v>
      </c>
      <c r="AJ9" s="163"/>
      <c r="AK9" s="271"/>
      <c r="AL9" s="58" t="s">
        <v>31</v>
      </c>
      <c r="AM9" s="163"/>
      <c r="AN9" s="271"/>
      <c r="AO9" s="58" t="s">
        <v>31</v>
      </c>
      <c r="AP9" s="163"/>
      <c r="AQ9" s="271"/>
      <c r="AR9" s="58" t="s">
        <v>31</v>
      </c>
      <c r="AS9" s="163"/>
      <c r="AT9" s="271"/>
      <c r="AU9" s="58" t="s">
        <v>31</v>
      </c>
      <c r="AV9" s="163"/>
      <c r="AW9" s="271"/>
      <c r="AX9" s="58" t="s">
        <v>31</v>
      </c>
      <c r="AY9" s="163"/>
    </row>
    <row r="10" spans="3:51" x14ac:dyDescent="0.25">
      <c r="C10" s="6"/>
      <c r="D10" s="6"/>
      <c r="E10" s="15">
        <v>0.63541666666666663</v>
      </c>
      <c r="F10" s="302"/>
      <c r="G10" s="7" t="s">
        <v>11</v>
      </c>
      <c r="H10" s="16" t="s">
        <v>56</v>
      </c>
      <c r="I10" s="79" t="s">
        <v>171</v>
      </c>
      <c r="J10" s="7"/>
      <c r="K10" s="26" t="s">
        <v>33</v>
      </c>
      <c r="L10" s="6"/>
      <c r="M10" s="27" t="s">
        <v>30</v>
      </c>
      <c r="N10" s="162">
        <v>7</v>
      </c>
      <c r="O10" s="5" t="s">
        <v>127</v>
      </c>
      <c r="Q10" s="1"/>
      <c r="R10" s="273"/>
      <c r="S10" s="271"/>
      <c r="T10" s="59" t="s">
        <v>33</v>
      </c>
      <c r="U10" s="163"/>
      <c r="V10" s="271"/>
      <c r="W10" s="59" t="s">
        <v>33</v>
      </c>
      <c r="X10" s="163"/>
      <c r="Y10" s="271"/>
      <c r="Z10" s="59" t="s">
        <v>33</v>
      </c>
      <c r="AA10" s="163"/>
      <c r="AB10" s="271"/>
      <c r="AC10" s="59" t="s">
        <v>33</v>
      </c>
      <c r="AD10" s="163"/>
      <c r="AE10" s="271"/>
      <c r="AF10" s="59" t="s">
        <v>33</v>
      </c>
      <c r="AG10" s="163"/>
      <c r="AH10" s="271"/>
      <c r="AI10" s="59" t="s">
        <v>33</v>
      </c>
      <c r="AJ10" s="163"/>
      <c r="AK10" s="271"/>
      <c r="AL10" s="59" t="s">
        <v>33</v>
      </c>
      <c r="AM10" s="163"/>
      <c r="AN10" s="271"/>
      <c r="AO10" s="59" t="s">
        <v>33</v>
      </c>
      <c r="AP10" s="163"/>
      <c r="AQ10" s="271"/>
      <c r="AR10" s="59" t="s">
        <v>33</v>
      </c>
      <c r="AS10" s="163"/>
      <c r="AT10" s="271"/>
      <c r="AU10" s="59" t="s">
        <v>33</v>
      </c>
      <c r="AV10" s="163"/>
      <c r="AW10" s="271"/>
      <c r="AX10" s="59" t="s">
        <v>33</v>
      </c>
      <c r="AY10" s="163"/>
    </row>
    <row r="11" spans="3:51" x14ac:dyDescent="0.25">
      <c r="C11" s="6"/>
      <c r="D11" s="6"/>
      <c r="E11" s="15">
        <v>0.64583333333333337</v>
      </c>
      <c r="F11" s="303"/>
      <c r="G11" s="7" t="s">
        <v>12</v>
      </c>
      <c r="H11" s="16" t="s">
        <v>57</v>
      </c>
      <c r="I11" s="7"/>
      <c r="J11" s="7"/>
      <c r="K11" s="26" t="s">
        <v>34</v>
      </c>
      <c r="L11" s="6"/>
      <c r="M11" s="28" t="s">
        <v>31</v>
      </c>
      <c r="N11" s="162">
        <v>8</v>
      </c>
      <c r="O11" s="5" t="s">
        <v>128</v>
      </c>
      <c r="Q11" s="1"/>
      <c r="R11" s="273"/>
      <c r="S11" s="271"/>
      <c r="T11" s="60" t="s">
        <v>34</v>
      </c>
      <c r="U11" s="163"/>
      <c r="V11" s="271"/>
      <c r="W11" s="60" t="s">
        <v>34</v>
      </c>
      <c r="X11" s="163"/>
      <c r="Y11" s="271"/>
      <c r="Z11" s="60" t="s">
        <v>34</v>
      </c>
      <c r="AA11" s="163"/>
      <c r="AB11" s="271"/>
      <c r="AC11" s="60" t="s">
        <v>34</v>
      </c>
      <c r="AD11" s="163"/>
      <c r="AE11" s="271"/>
      <c r="AF11" s="60" t="s">
        <v>34</v>
      </c>
      <c r="AG11" s="163"/>
      <c r="AH11" s="271"/>
      <c r="AI11" s="60" t="s">
        <v>34</v>
      </c>
      <c r="AJ11" s="163"/>
      <c r="AK11" s="271"/>
      <c r="AL11" s="60" t="s">
        <v>34</v>
      </c>
      <c r="AM11" s="163"/>
      <c r="AN11" s="271"/>
      <c r="AO11" s="60" t="s">
        <v>34</v>
      </c>
      <c r="AP11" s="163"/>
      <c r="AQ11" s="271"/>
      <c r="AR11" s="60" t="s">
        <v>34</v>
      </c>
      <c r="AS11" s="163"/>
      <c r="AT11" s="271"/>
      <c r="AU11" s="60" t="s">
        <v>34</v>
      </c>
      <c r="AV11" s="163"/>
      <c r="AW11" s="271"/>
      <c r="AX11" s="60" t="s">
        <v>34</v>
      </c>
      <c r="AY11" s="163"/>
    </row>
    <row r="12" spans="3:51" x14ac:dyDescent="0.25">
      <c r="C12" s="6"/>
      <c r="D12" s="6"/>
      <c r="E12" s="15">
        <v>0.80208333333333337</v>
      </c>
      <c r="F12" s="303"/>
      <c r="G12" s="7" t="s">
        <v>13</v>
      </c>
      <c r="H12" s="79" t="s">
        <v>171</v>
      </c>
      <c r="I12" s="7"/>
      <c r="J12" s="7"/>
      <c r="K12" s="5"/>
      <c r="L12" s="6"/>
      <c r="M12" s="29" t="s">
        <v>42</v>
      </c>
      <c r="N12" s="162">
        <v>9</v>
      </c>
      <c r="O12" s="5" t="s">
        <v>129</v>
      </c>
      <c r="Q12" s="1"/>
      <c r="R12" s="273"/>
      <c r="S12" s="271"/>
      <c r="T12" s="25"/>
      <c r="U12" s="164"/>
      <c r="V12" s="271"/>
      <c r="W12" s="25"/>
      <c r="X12" s="164"/>
      <c r="Y12" s="271"/>
      <c r="Z12" s="25"/>
      <c r="AA12" s="164"/>
      <c r="AB12" s="271"/>
      <c r="AC12" s="25"/>
      <c r="AD12" s="164"/>
      <c r="AE12" s="271"/>
      <c r="AF12" s="25"/>
      <c r="AG12" s="164"/>
      <c r="AH12" s="271"/>
      <c r="AI12" s="25"/>
      <c r="AJ12" s="164"/>
      <c r="AK12" s="271"/>
      <c r="AL12" s="25"/>
      <c r="AM12" s="164"/>
      <c r="AN12" s="271"/>
      <c r="AO12" s="25"/>
      <c r="AP12" s="164"/>
      <c r="AQ12" s="271"/>
      <c r="AR12" s="25"/>
      <c r="AS12" s="164"/>
      <c r="AT12" s="271"/>
      <c r="AU12" s="25"/>
      <c r="AV12" s="164"/>
      <c r="AW12" s="271"/>
      <c r="AX12" s="25"/>
      <c r="AY12" s="164"/>
    </row>
    <row r="13" spans="3:51" x14ac:dyDescent="0.25">
      <c r="C13" s="6"/>
      <c r="D13" s="6"/>
      <c r="E13" s="15">
        <v>0.8125</v>
      </c>
      <c r="F13" s="304"/>
      <c r="G13" s="7" t="s">
        <v>14</v>
      </c>
      <c r="H13" s="79" t="s">
        <v>152</v>
      </c>
      <c r="I13" s="7"/>
      <c r="J13" s="7"/>
      <c r="K13" s="5"/>
      <c r="L13" s="6"/>
      <c r="M13" s="7"/>
      <c r="N13" s="162">
        <v>10</v>
      </c>
      <c r="O13" s="5" t="s">
        <v>130</v>
      </c>
      <c r="Q13" s="1"/>
      <c r="R13" s="273"/>
      <c r="S13" s="272"/>
      <c r="T13" s="29"/>
      <c r="U13" s="164"/>
      <c r="V13" s="272"/>
      <c r="W13" s="29"/>
      <c r="X13" s="164"/>
      <c r="Y13" s="272"/>
      <c r="Z13" s="29"/>
      <c r="AA13" s="164"/>
      <c r="AB13" s="272"/>
      <c r="AC13" s="29"/>
      <c r="AD13" s="164"/>
      <c r="AE13" s="272"/>
      <c r="AF13" s="29"/>
      <c r="AG13" s="164"/>
      <c r="AH13" s="272"/>
      <c r="AI13" s="29"/>
      <c r="AJ13" s="164"/>
      <c r="AK13" s="272"/>
      <c r="AL13" s="29"/>
      <c r="AM13" s="164"/>
      <c r="AN13" s="272"/>
      <c r="AO13" s="29"/>
      <c r="AP13" s="164"/>
      <c r="AQ13" s="272"/>
      <c r="AR13" s="29"/>
      <c r="AS13" s="164"/>
      <c r="AT13" s="272"/>
      <c r="AU13" s="29"/>
      <c r="AV13" s="164"/>
      <c r="AW13" s="272"/>
      <c r="AX13" s="29"/>
      <c r="AY13" s="164"/>
    </row>
    <row r="14" spans="3:51" x14ac:dyDescent="0.25">
      <c r="C14" s="6"/>
      <c r="D14" s="6"/>
      <c r="E14" s="15">
        <v>0.9375</v>
      </c>
      <c r="F14" s="304"/>
      <c r="G14" s="7" t="s">
        <v>15</v>
      </c>
      <c r="H14" s="7" t="s">
        <v>172</v>
      </c>
      <c r="I14" s="7"/>
      <c r="J14" s="7"/>
      <c r="K14" s="5"/>
      <c r="L14" s="6"/>
      <c r="M14" s="7"/>
      <c r="N14" s="162">
        <v>11</v>
      </c>
      <c r="O14" s="5" t="s">
        <v>131</v>
      </c>
      <c r="Q14" s="1"/>
      <c r="R14" s="1"/>
      <c r="S14" s="8"/>
      <c r="T14" s="8"/>
    </row>
    <row r="15" spans="3:51" x14ac:dyDescent="0.25">
      <c r="C15" s="6"/>
      <c r="D15" s="6"/>
      <c r="E15" s="6"/>
      <c r="F15" s="6"/>
      <c r="G15" s="7" t="s">
        <v>16</v>
      </c>
      <c r="H15" s="17"/>
      <c r="I15" s="7"/>
      <c r="J15" s="7"/>
      <c r="K15" s="5"/>
      <c r="L15" s="6"/>
      <c r="M15" s="7"/>
      <c r="N15" s="162">
        <v>12</v>
      </c>
      <c r="O15" s="5" t="s">
        <v>132</v>
      </c>
      <c r="Q15" s="1"/>
      <c r="R15" s="1"/>
      <c r="S15" s="8"/>
      <c r="T15" s="8"/>
    </row>
    <row r="16" spans="3:51" x14ac:dyDescent="0.25">
      <c r="L16" s="1"/>
      <c r="N16" s="1"/>
      <c r="O16" s="5" t="s">
        <v>133</v>
      </c>
      <c r="P16" s="1"/>
      <c r="Q16" s="1"/>
      <c r="R16" s="1"/>
      <c r="S16" s="8"/>
      <c r="T16" s="8"/>
    </row>
    <row r="17" spans="3:27" ht="17.25" x14ac:dyDescent="0.25">
      <c r="C17" s="70" t="s">
        <v>68</v>
      </c>
      <c r="D17" s="2"/>
      <c r="E17" s="72"/>
      <c r="N17" s="1"/>
      <c r="O17" s="5" t="s">
        <v>134</v>
      </c>
      <c r="P17" s="1"/>
      <c r="Q17" s="1"/>
      <c r="R17" s="1"/>
      <c r="S17" s="8"/>
      <c r="T17" s="8"/>
    </row>
    <row r="18" spans="3:27" ht="17.25" x14ac:dyDescent="0.25">
      <c r="C18" s="70" t="s">
        <v>69</v>
      </c>
      <c r="D18" s="2"/>
      <c r="E18" s="1"/>
      <c r="F18" s="1"/>
      <c r="H18" s="10" t="s">
        <v>110</v>
      </c>
      <c r="I18" s="35"/>
      <c r="N18" s="1"/>
      <c r="O18" s="5" t="s">
        <v>135</v>
      </c>
      <c r="P18" s="1"/>
      <c r="Q18" s="1"/>
      <c r="R18" s="8"/>
      <c r="S18" s="8"/>
    </row>
    <row r="19" spans="3:27" ht="17.25" x14ac:dyDescent="0.25">
      <c r="C19" s="70" t="s">
        <v>70</v>
      </c>
      <c r="D19" s="2"/>
      <c r="F19" s="1"/>
      <c r="H19" s="10" t="s">
        <v>111</v>
      </c>
      <c r="I19" s="35"/>
      <c r="N19" s="1"/>
      <c r="O19" s="5" t="s">
        <v>136</v>
      </c>
      <c r="P19" s="1"/>
      <c r="Q19" s="1"/>
      <c r="R19" s="8"/>
      <c r="S19" s="8"/>
    </row>
    <row r="20" spans="3:27" ht="17.25" x14ac:dyDescent="0.25">
      <c r="C20" s="70" t="s">
        <v>71</v>
      </c>
      <c r="D20" s="2"/>
      <c r="F20" s="1"/>
      <c r="H20" s="10" t="s">
        <v>112</v>
      </c>
      <c r="I20" s="35"/>
      <c r="N20" s="1"/>
      <c r="O20" s="5" t="s">
        <v>137</v>
      </c>
      <c r="P20" s="1"/>
      <c r="Q20" s="1"/>
      <c r="R20" s="1"/>
      <c r="S20" s="8"/>
      <c r="T20" s="8"/>
    </row>
    <row r="21" spans="3:27" ht="17.25" x14ac:dyDescent="0.25">
      <c r="C21" s="70" t="s">
        <v>72</v>
      </c>
      <c r="D21" s="2"/>
      <c r="E21" s="1"/>
      <c r="F21" s="1"/>
      <c r="H21" s="10"/>
      <c r="I21" s="35"/>
      <c r="N21" s="1"/>
      <c r="O21" s="5" t="s">
        <v>138</v>
      </c>
      <c r="P21" s="1"/>
      <c r="Q21" s="1"/>
      <c r="R21" s="8"/>
      <c r="S21" s="8"/>
    </row>
    <row r="22" spans="3:27" ht="17.25" x14ac:dyDescent="0.25">
      <c r="C22" s="70" t="s">
        <v>73</v>
      </c>
      <c r="D22" s="2"/>
      <c r="E22" s="1"/>
      <c r="F22" s="1"/>
      <c r="H22" s="10"/>
      <c r="I22" s="35"/>
      <c r="L22" s="1"/>
      <c r="N22" s="1"/>
      <c r="O22" s="5" t="s">
        <v>139</v>
      </c>
      <c r="P22" s="8"/>
    </row>
    <row r="23" spans="3:27" ht="17.25" x14ac:dyDescent="0.25">
      <c r="C23" s="70" t="s">
        <v>74</v>
      </c>
      <c r="D23" s="2"/>
      <c r="E23" s="1"/>
      <c r="F23" s="1"/>
      <c r="H23" s="10"/>
      <c r="I23" s="35"/>
      <c r="L23" s="1"/>
      <c r="N23" s="1"/>
      <c r="O23" s="5" t="s">
        <v>140</v>
      </c>
      <c r="P23" s="1"/>
      <c r="Q23" s="1"/>
      <c r="R23" s="8"/>
      <c r="S23" s="8"/>
    </row>
    <row r="24" spans="3:27" ht="17.25" x14ac:dyDescent="0.25">
      <c r="C24" s="70" t="s">
        <v>75</v>
      </c>
      <c r="D24" s="2"/>
      <c r="E24" s="1"/>
      <c r="F24" s="1"/>
      <c r="H24" s="10"/>
      <c r="I24" s="35"/>
      <c r="L24" s="1"/>
      <c r="N24" s="1"/>
      <c r="O24" s="5" t="s">
        <v>141</v>
      </c>
      <c r="R24" s="1"/>
      <c r="S24" s="1"/>
      <c r="T24" s="1"/>
      <c r="U24" s="1"/>
      <c r="V24" s="1"/>
      <c r="W24" s="1"/>
      <c r="X24" s="1"/>
      <c r="Y24" s="1"/>
      <c r="Z24" s="8"/>
      <c r="AA24" s="8"/>
    </row>
    <row r="25" spans="3:27" ht="17.25" x14ac:dyDescent="0.25">
      <c r="C25" s="70" t="s">
        <v>76</v>
      </c>
      <c r="D25" s="2"/>
      <c r="E25" s="1"/>
      <c r="F25" s="1"/>
      <c r="H25" s="10"/>
      <c r="I25" s="35"/>
      <c r="L25" s="1"/>
      <c r="N25" s="1"/>
      <c r="O25" s="5" t="s">
        <v>142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8"/>
      <c r="AA25" s="8"/>
    </row>
    <row r="26" spans="3:27" ht="17.25" x14ac:dyDescent="0.25">
      <c r="C26" s="70" t="s">
        <v>77</v>
      </c>
      <c r="D26" s="2"/>
      <c r="E26" s="1"/>
      <c r="F26" s="1"/>
      <c r="H26" s="10"/>
      <c r="I26" s="35"/>
      <c r="L26" s="1"/>
      <c r="N26" s="1"/>
      <c r="O26" s="5" t="s">
        <v>143</v>
      </c>
      <c r="P26" s="1"/>
      <c r="Q26" s="1"/>
      <c r="R26" s="1"/>
      <c r="S26" s="1"/>
      <c r="T26" s="1"/>
      <c r="U26" s="1"/>
      <c r="V26" s="1"/>
      <c r="W26" s="8"/>
      <c r="X26" s="8"/>
      <c r="Y26" s="1"/>
      <c r="Z26" s="8"/>
      <c r="AA26" s="8"/>
    </row>
    <row r="27" spans="3:27" ht="17.25" x14ac:dyDescent="0.25">
      <c r="C27" s="70" t="s">
        <v>78</v>
      </c>
      <c r="D27" s="2"/>
      <c r="E27" s="1"/>
      <c r="F27" s="1"/>
      <c r="H27" s="10"/>
      <c r="I27" s="35"/>
      <c r="L27" s="1"/>
      <c r="N27" s="1"/>
      <c r="O27" s="5" t="s">
        <v>144</v>
      </c>
      <c r="P27" s="1"/>
      <c r="Q27" s="1"/>
      <c r="R27" s="1"/>
      <c r="S27" s="1"/>
      <c r="T27" s="1"/>
      <c r="U27" s="1"/>
      <c r="V27" s="1"/>
      <c r="W27" s="8"/>
      <c r="X27" s="8"/>
      <c r="Y27" s="1"/>
      <c r="Z27" s="8"/>
      <c r="AA27" s="8"/>
    </row>
    <row r="28" spans="3:27" ht="17.25" x14ac:dyDescent="0.25">
      <c r="C28" s="70" t="s">
        <v>79</v>
      </c>
      <c r="D28" s="2"/>
      <c r="E28" s="1"/>
      <c r="F28" s="1"/>
      <c r="H28" s="10"/>
      <c r="I28" s="35"/>
      <c r="L28" s="1"/>
      <c r="N28" s="1"/>
      <c r="O28" s="5" t="s">
        <v>145</v>
      </c>
      <c r="P28" s="1"/>
      <c r="Q28" s="1"/>
      <c r="R28" s="1"/>
      <c r="S28" s="1"/>
      <c r="T28" s="1"/>
      <c r="U28" s="1"/>
      <c r="V28" s="1"/>
      <c r="Y28" s="8"/>
      <c r="Z28" s="8"/>
      <c r="AA28" s="8"/>
    </row>
    <row r="29" spans="3:27" x14ac:dyDescent="0.25">
      <c r="C29" s="1"/>
      <c r="D29" s="1"/>
      <c r="E29" s="1"/>
      <c r="F29" s="1"/>
      <c r="H29" s="10"/>
      <c r="I29" s="35"/>
      <c r="L29" s="1"/>
      <c r="N29" s="1"/>
      <c r="O29" s="5" t="s">
        <v>146</v>
      </c>
      <c r="P29" s="1"/>
      <c r="Q29" s="1"/>
      <c r="R29" s="1"/>
      <c r="S29" s="1"/>
      <c r="T29" s="1"/>
      <c r="U29" s="1"/>
      <c r="V29" s="1"/>
      <c r="Y29" s="8"/>
      <c r="Z29" s="8"/>
      <c r="AA29" s="8"/>
    </row>
    <row r="30" spans="3:27" x14ac:dyDescent="0.25">
      <c r="C30" s="1"/>
      <c r="D30" s="1"/>
      <c r="E30" s="1"/>
      <c r="F30" s="1"/>
      <c r="H30" s="10"/>
      <c r="L30" s="1"/>
      <c r="N30" s="1"/>
      <c r="O30" s="5" t="s">
        <v>147</v>
      </c>
      <c r="P30" s="1"/>
      <c r="Q30" s="1"/>
      <c r="R30" s="1"/>
      <c r="S30" s="1"/>
      <c r="T30" s="1"/>
      <c r="U30" s="1"/>
      <c r="V30" s="1"/>
    </row>
    <row r="31" spans="3:27" x14ac:dyDescent="0.25">
      <c r="L31" s="1"/>
      <c r="N31" s="1"/>
      <c r="O31" s="5" t="s">
        <v>148</v>
      </c>
      <c r="P31" s="1"/>
      <c r="Q31" s="1"/>
      <c r="R31" s="1"/>
      <c r="S31" s="1"/>
      <c r="T31" s="1"/>
      <c r="U31" s="1"/>
      <c r="V31" s="1"/>
    </row>
    <row r="32" spans="3:27" x14ac:dyDescent="0.25">
      <c r="L32" s="1"/>
      <c r="N32" s="1"/>
      <c r="O32" s="5" t="s">
        <v>149</v>
      </c>
      <c r="P32" s="1"/>
      <c r="Q32" s="1"/>
      <c r="R32" s="1"/>
      <c r="S32" s="1"/>
      <c r="T32" s="1"/>
      <c r="U32" s="1"/>
      <c r="V32" s="1"/>
    </row>
    <row r="33" spans="12:22" x14ac:dyDescent="0.25">
      <c r="L33" s="1"/>
      <c r="N33" s="1"/>
      <c r="O33" s="5" t="s">
        <v>150</v>
      </c>
      <c r="P33" s="1"/>
      <c r="Q33" s="1"/>
      <c r="R33" s="1"/>
      <c r="S33" s="1"/>
      <c r="T33" s="1"/>
      <c r="U33" s="1"/>
      <c r="V33" s="1"/>
    </row>
    <row r="34" spans="12:22" x14ac:dyDescent="0.25">
      <c r="L34" s="1"/>
      <c r="N34" s="1"/>
      <c r="O34" s="1"/>
      <c r="P34" s="1"/>
      <c r="Q34" s="1"/>
      <c r="R34" s="1"/>
      <c r="S34" s="1"/>
      <c r="T34" s="1"/>
      <c r="U34" s="1"/>
      <c r="V34" s="1"/>
    </row>
    <row r="35" spans="12:22" x14ac:dyDescent="0.25">
      <c r="L35" s="1"/>
      <c r="N35" s="1"/>
      <c r="O35" s="1"/>
      <c r="P35" s="1"/>
      <c r="Q35" s="1"/>
      <c r="R35" s="1"/>
      <c r="S35" s="1"/>
      <c r="T35" s="1"/>
      <c r="U35" s="1"/>
      <c r="V35" s="1"/>
    </row>
    <row r="36" spans="12:22" x14ac:dyDescent="0.25">
      <c r="L36" s="1"/>
      <c r="N36" s="1"/>
      <c r="O36" s="1"/>
      <c r="P36" s="1"/>
      <c r="Q36" s="1"/>
      <c r="R36" s="1"/>
      <c r="S36" s="1"/>
      <c r="T36" s="1"/>
      <c r="U36" s="1"/>
      <c r="V36" s="1"/>
    </row>
    <row r="37" spans="12:22" x14ac:dyDescent="0.25">
      <c r="L37" s="1"/>
      <c r="N37" s="1"/>
      <c r="O37" s="1"/>
      <c r="P37" s="1"/>
      <c r="Q37" s="1"/>
      <c r="R37" s="1"/>
      <c r="S37" s="1"/>
      <c r="T37" s="1"/>
      <c r="U37" s="1"/>
      <c r="V37" s="1"/>
    </row>
    <row r="38" spans="12:22" x14ac:dyDescent="0.25">
      <c r="L38" s="1"/>
      <c r="N38" s="1"/>
      <c r="O38" s="1"/>
      <c r="P38" s="1"/>
      <c r="Q38" s="1"/>
      <c r="R38" s="1"/>
      <c r="S38" s="1"/>
      <c r="T38" s="1"/>
      <c r="U38" s="1"/>
      <c r="V38" s="1"/>
    </row>
    <row r="39" spans="12:22" x14ac:dyDescent="0.25">
      <c r="L39" s="1"/>
      <c r="N39" s="1"/>
      <c r="O39" s="1"/>
      <c r="P39" s="1"/>
      <c r="Q39" s="1"/>
      <c r="R39" s="1"/>
      <c r="S39" s="1"/>
      <c r="T39" s="1"/>
      <c r="U39" s="1"/>
      <c r="V39" s="1"/>
    </row>
    <row r="40" spans="12:22" x14ac:dyDescent="0.25">
      <c r="L40" s="1"/>
      <c r="N40" s="1"/>
      <c r="O40" s="1"/>
      <c r="P40" s="1"/>
      <c r="Q40" s="1"/>
      <c r="R40" s="1"/>
      <c r="S40" s="1"/>
      <c r="T40" s="1"/>
      <c r="U40" s="1"/>
      <c r="V40" s="1"/>
    </row>
    <row r="41" spans="12:22" x14ac:dyDescent="0.25">
      <c r="L41" s="1"/>
      <c r="N41" s="1"/>
      <c r="O41" s="1"/>
      <c r="P41" s="1"/>
      <c r="Q41" s="1"/>
      <c r="R41" s="1"/>
      <c r="S41" s="1"/>
      <c r="T41" s="1"/>
      <c r="U41" s="1"/>
      <c r="V41" s="1"/>
    </row>
    <row r="42" spans="12:22" x14ac:dyDescent="0.25">
      <c r="L42" s="1"/>
      <c r="N42" s="1"/>
      <c r="O42" s="1"/>
      <c r="P42" s="1"/>
      <c r="Q42" s="1"/>
      <c r="R42" s="1"/>
      <c r="S42" s="1"/>
      <c r="T42" s="1"/>
      <c r="U42" s="1"/>
      <c r="V42" s="1"/>
    </row>
    <row r="43" spans="12:22" x14ac:dyDescent="0.25">
      <c r="L43" s="1"/>
      <c r="N43" s="1"/>
      <c r="O43" s="1"/>
      <c r="P43" s="1"/>
      <c r="Q43" s="1"/>
      <c r="R43" s="1"/>
      <c r="S43" s="1"/>
      <c r="T43" s="1"/>
      <c r="U43" s="1"/>
      <c r="V43" s="1"/>
    </row>
    <row r="44" spans="12:22" x14ac:dyDescent="0.25">
      <c r="L44" s="1"/>
      <c r="N44" s="1"/>
      <c r="O44" s="1"/>
      <c r="P44" s="1"/>
      <c r="Q44" s="1"/>
      <c r="R44" s="1"/>
      <c r="S44" s="1"/>
      <c r="T44" s="1"/>
      <c r="U44" s="1"/>
      <c r="V44" s="1"/>
    </row>
    <row r="45" spans="12:22" x14ac:dyDescent="0.25">
      <c r="L45" s="1"/>
      <c r="N45" s="1"/>
      <c r="O45" s="1"/>
      <c r="P45" s="1"/>
      <c r="Q45" s="1"/>
      <c r="R45" s="1"/>
      <c r="S45" s="1"/>
      <c r="T45" s="1"/>
      <c r="U45" s="1"/>
      <c r="V45" s="1"/>
    </row>
    <row r="46" spans="12:22" x14ac:dyDescent="0.25">
      <c r="L46" s="1"/>
      <c r="N46" s="1"/>
      <c r="O46" s="1"/>
      <c r="P46" s="1"/>
      <c r="Q46" s="1"/>
      <c r="R46" s="1"/>
      <c r="S46" s="1"/>
      <c r="T46" s="1"/>
      <c r="U46" s="1"/>
      <c r="V46" s="1"/>
    </row>
    <row r="47" spans="12:22" x14ac:dyDescent="0.25">
      <c r="L47" s="1"/>
      <c r="N47" s="1"/>
      <c r="O47" s="1"/>
      <c r="P47" s="1"/>
      <c r="Q47" s="1"/>
      <c r="R47" s="1"/>
      <c r="S47" s="1"/>
      <c r="T47" s="1"/>
      <c r="U47" s="1"/>
      <c r="V47" s="1"/>
    </row>
    <row r="48" spans="12:22" x14ac:dyDescent="0.25">
      <c r="L48" s="1"/>
      <c r="N48" s="1"/>
      <c r="O48" s="1"/>
      <c r="P48" s="1"/>
      <c r="Q48" s="1"/>
      <c r="R48" s="1"/>
      <c r="S48" s="1"/>
      <c r="T48" s="1"/>
      <c r="U48" s="1"/>
      <c r="V48" s="1"/>
    </row>
    <row r="49" spans="12:22" x14ac:dyDescent="0.25">
      <c r="L49" s="1"/>
      <c r="N49" s="1"/>
      <c r="O49" s="1"/>
      <c r="P49" s="1"/>
      <c r="Q49" s="1"/>
      <c r="R49" s="1"/>
      <c r="S49" s="1"/>
      <c r="T49" s="1"/>
      <c r="U49" s="1"/>
      <c r="V49" s="1"/>
    </row>
    <row r="50" spans="12:22" x14ac:dyDescent="0.25">
      <c r="L50" s="1"/>
      <c r="N50" s="1"/>
      <c r="O50" s="1"/>
      <c r="P50" s="1"/>
      <c r="Q50" s="1"/>
      <c r="R50" s="1"/>
      <c r="S50" s="1"/>
      <c r="T50" s="1"/>
      <c r="U50" s="1"/>
      <c r="V50" s="1"/>
    </row>
    <row r="51" spans="12:22" x14ac:dyDescent="0.25">
      <c r="L51" s="1"/>
      <c r="N51" s="1"/>
      <c r="O51" s="1"/>
      <c r="P51" s="1"/>
      <c r="Q51" s="1"/>
      <c r="R51" s="1"/>
      <c r="S51" s="1"/>
      <c r="T51" s="1"/>
      <c r="U51" s="1"/>
      <c r="V51" s="1"/>
    </row>
    <row r="52" spans="12:22" x14ac:dyDescent="0.25">
      <c r="L52" s="1"/>
      <c r="N52" s="1"/>
      <c r="R52" s="1"/>
      <c r="S52" s="1"/>
      <c r="T52" s="1"/>
      <c r="U52" s="1"/>
      <c r="V52" s="1"/>
    </row>
    <row r="53" spans="12:22" x14ac:dyDescent="0.25">
      <c r="L53" s="1"/>
      <c r="N53" s="1"/>
      <c r="R53" s="1"/>
      <c r="V53" s="1"/>
    </row>
    <row r="54" spans="12:22" x14ac:dyDescent="0.25">
      <c r="L54" s="1"/>
      <c r="N54" s="1"/>
      <c r="R54" s="1"/>
      <c r="V54" s="1"/>
    </row>
    <row r="55" spans="12:22" x14ac:dyDescent="0.25">
      <c r="L55" s="1"/>
      <c r="N55" s="1"/>
      <c r="R55" s="1"/>
      <c r="V55" s="1"/>
    </row>
    <row r="56" spans="12:22" x14ac:dyDescent="0.25">
      <c r="L56" s="1"/>
      <c r="N56" s="1"/>
      <c r="R56" s="1"/>
      <c r="V56" s="1"/>
    </row>
    <row r="57" spans="12:22" x14ac:dyDescent="0.25">
      <c r="L57" s="1"/>
      <c r="N57" s="1"/>
      <c r="R57" s="1"/>
      <c r="V57" s="1"/>
    </row>
    <row r="58" spans="12:22" x14ac:dyDescent="0.25">
      <c r="L58" s="1"/>
      <c r="N58" s="1"/>
    </row>
    <row r="59" spans="12:22" x14ac:dyDescent="0.25">
      <c r="L59" s="1"/>
      <c r="N59" s="1"/>
    </row>
  </sheetData>
  <mergeCells count="17">
    <mergeCell ref="AT5:AT13"/>
    <mergeCell ref="AW5:AW13"/>
    <mergeCell ref="R5:R13"/>
    <mergeCell ref="AE5:AE13"/>
    <mergeCell ref="AH5:AH13"/>
    <mergeCell ref="AK5:AK13"/>
    <mergeCell ref="AN5:AN13"/>
    <mergeCell ref="AQ5:AQ13"/>
    <mergeCell ref="S5:S13"/>
    <mergeCell ref="V5:V13"/>
    <mergeCell ref="Y5:Y13"/>
    <mergeCell ref="AB5:AB13"/>
    <mergeCell ref="F5:F6"/>
    <mergeCell ref="F7:F8"/>
    <mergeCell ref="F9:F10"/>
    <mergeCell ref="F11:F12"/>
    <mergeCell ref="F13:F14"/>
  </mergeCells>
  <conditionalFormatting sqref="U13">
    <cfRule type="cellIs" dxfId="34" priority="31" operator="lessThan">
      <formula>0</formula>
    </cfRule>
    <cfRule type="cellIs" dxfId="33" priority="32" operator="greaterThan">
      <formula>0</formula>
    </cfRule>
    <cfRule type="cellIs" dxfId="32" priority="33" operator="equal">
      <formula>0</formula>
    </cfRule>
  </conditionalFormatting>
  <conditionalFormatting sqref="X13">
    <cfRule type="cellIs" dxfId="31" priority="28" operator="lessThan">
      <formula>0</formula>
    </cfRule>
    <cfRule type="cellIs" dxfId="30" priority="29" operator="greaterThan">
      <formula>0</formula>
    </cfRule>
    <cfRule type="cellIs" dxfId="29" priority="30" operator="equal">
      <formula>0</formula>
    </cfRule>
  </conditionalFormatting>
  <conditionalFormatting sqref="AY13">
    <cfRule type="cellIs" dxfId="28" priority="1" operator="lessThan">
      <formula>0</formula>
    </cfRule>
    <cfRule type="cellIs" dxfId="27" priority="2" operator="greaterThan">
      <formula>0</formula>
    </cfRule>
    <cfRule type="cellIs" dxfId="26" priority="3" operator="equal">
      <formula>0</formula>
    </cfRule>
  </conditionalFormatting>
  <conditionalFormatting sqref="AA13">
    <cfRule type="cellIs" dxfId="25" priority="25" operator="lessThan">
      <formula>0</formula>
    </cfRule>
    <cfRule type="cellIs" dxfId="24" priority="26" operator="greaterThan">
      <formula>0</formula>
    </cfRule>
    <cfRule type="cellIs" dxfId="23" priority="27" operator="equal">
      <formula>0</formula>
    </cfRule>
  </conditionalFormatting>
  <conditionalFormatting sqref="AD13">
    <cfRule type="cellIs" dxfId="22" priority="22" operator="lessThan">
      <formula>0</formula>
    </cfRule>
    <cfRule type="cellIs" dxfId="21" priority="23" operator="greaterThan">
      <formula>0</formula>
    </cfRule>
    <cfRule type="cellIs" dxfId="20" priority="24" operator="equal">
      <formula>0</formula>
    </cfRule>
  </conditionalFormatting>
  <conditionalFormatting sqref="AG13">
    <cfRule type="cellIs" dxfId="19" priority="19" operator="lessThan">
      <formula>0</formula>
    </cfRule>
    <cfRule type="cellIs" dxfId="18" priority="20" operator="greaterThan">
      <formula>0</formula>
    </cfRule>
    <cfRule type="cellIs" dxfId="17" priority="21" operator="equal">
      <formula>0</formula>
    </cfRule>
  </conditionalFormatting>
  <conditionalFormatting sqref="AJ13">
    <cfRule type="cellIs" dxfId="16" priority="16" operator="lessThan">
      <formula>0</formula>
    </cfRule>
    <cfRule type="cellIs" dxfId="15" priority="17" operator="greaterThan">
      <formula>0</formula>
    </cfRule>
    <cfRule type="cellIs" dxfId="14" priority="18" operator="equal">
      <formula>0</formula>
    </cfRule>
  </conditionalFormatting>
  <conditionalFormatting sqref="AM13">
    <cfRule type="cellIs" dxfId="13" priority="13" operator="lessThan">
      <formula>0</formula>
    </cfRule>
    <cfRule type="cellIs" dxfId="12" priority="14" operator="greaterThan">
      <formula>0</formula>
    </cfRule>
    <cfRule type="cellIs" dxfId="11" priority="15" operator="equal">
      <formula>0</formula>
    </cfRule>
  </conditionalFormatting>
  <conditionalFormatting sqref="AP13">
    <cfRule type="cellIs" dxfId="10" priority="10" operator="lessThan">
      <formula>0</formula>
    </cfRule>
    <cfRule type="cellIs" dxfId="9" priority="11" operator="greaterThan">
      <formula>0</formula>
    </cfRule>
    <cfRule type="cellIs" dxfId="8" priority="12" operator="equal">
      <formula>0</formula>
    </cfRule>
  </conditionalFormatting>
  <conditionalFormatting sqref="AS13">
    <cfRule type="cellIs" dxfId="7" priority="7" operator="lessThan">
      <formula>0</formula>
    </cfRule>
    <cfRule type="cellIs" dxfId="6" priority="8" operator="greaterThan">
      <formula>0</formula>
    </cfRule>
    <cfRule type="cellIs" dxfId="5" priority="9" operator="equal">
      <formula>0</formula>
    </cfRule>
  </conditionalFormatting>
  <conditionalFormatting sqref="AV13">
    <cfRule type="cellIs" dxfId="4" priority="4" operator="lessThan">
      <formula>0</formula>
    </cfRule>
    <cfRule type="cellIs" dxfId="3" priority="5" operator="greaterThan">
      <formula>0</formula>
    </cfRule>
    <cfRule type="cellIs" dxfId="2" priority="6" operator="equal">
      <formula>0</formula>
    </cfRule>
  </conditionalFormatting>
  <dataValidations disablePrompts="1" count="1">
    <dataValidation type="list" allowBlank="1" showInputMessage="1" showErrorMessage="1" sqref="G21">
      <formula1>$K$5:$K$11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55"/>
  <sheetViews>
    <sheetView topLeftCell="C1" zoomScale="90" zoomScaleNormal="90" workbookViewId="0">
      <selection activeCell="BC19" sqref="BC19"/>
    </sheetView>
  </sheetViews>
  <sheetFormatPr defaultRowHeight="15" x14ac:dyDescent="0.25"/>
  <cols>
    <col min="1" max="1" width="9.140625" style="53"/>
    <col min="2" max="2" width="4.85546875" style="53" customWidth="1"/>
    <col min="3" max="3" width="8.28515625" style="53" customWidth="1"/>
    <col min="4" max="4" width="10.28515625" style="53" customWidth="1"/>
    <col min="5" max="5" width="4.28515625" style="53" customWidth="1"/>
    <col min="6" max="6" width="8" style="53" customWidth="1"/>
    <col min="7" max="7" width="11" style="53" customWidth="1"/>
    <col min="8" max="8" width="5.42578125" style="53" customWidth="1"/>
    <col min="9" max="9" width="6.7109375" style="53" customWidth="1"/>
    <col min="10" max="10" width="11.140625" style="53" customWidth="1"/>
    <col min="11" max="11" width="9.140625" style="53"/>
    <col min="12" max="12" width="4.28515625" style="53" customWidth="1"/>
    <col min="13" max="13" width="8.140625" style="53" customWidth="1"/>
    <col min="14" max="14" width="10.42578125" style="53" customWidth="1"/>
    <col min="15" max="15" width="4" style="53" customWidth="1"/>
    <col min="16" max="16" width="8.42578125" style="53" customWidth="1"/>
    <col min="17" max="17" width="10.28515625" style="53" customWidth="1"/>
    <col min="18" max="18" width="4.5703125" style="53" customWidth="1"/>
    <col min="19" max="19" width="8.28515625" style="53" customWidth="1"/>
    <col min="20" max="20" width="10" style="53" customWidth="1"/>
    <col min="21" max="21" width="9.140625" style="53"/>
    <col min="22" max="22" width="4.5703125" style="53" customWidth="1"/>
    <col min="23" max="23" width="7.85546875" style="53" customWidth="1"/>
    <col min="24" max="24" width="10.42578125" style="53" customWidth="1"/>
    <col min="25" max="25" width="5" style="53" customWidth="1"/>
    <col min="26" max="26" width="8.140625" style="53" customWidth="1"/>
    <col min="27" max="27" width="9.85546875" style="53" customWidth="1"/>
    <col min="28" max="28" width="4.5703125" style="53" customWidth="1"/>
    <col min="29" max="29" width="8.42578125" style="53" customWidth="1"/>
    <col min="30" max="30" width="9.7109375" style="53" customWidth="1"/>
    <col min="31" max="31" width="10.7109375" style="53" customWidth="1"/>
    <col min="32" max="32" width="6.28515625" style="53" customWidth="1"/>
    <col min="33" max="33" width="14.7109375" style="53" customWidth="1"/>
    <col min="34" max="34" width="8.140625" style="53" customWidth="1"/>
    <col min="35" max="35" width="7.7109375" style="53" customWidth="1"/>
    <col min="36" max="36" width="8" style="53" customWidth="1"/>
    <col min="37" max="37" width="9.140625" style="53" customWidth="1"/>
    <col min="38" max="38" width="8.7109375" style="53" customWidth="1"/>
    <col min="39" max="40" width="9.5703125" style="53" customWidth="1"/>
    <col min="41" max="41" width="14.85546875" style="53" customWidth="1"/>
    <col min="42" max="42" width="11.140625" style="53" customWidth="1"/>
    <col min="43" max="43" width="11.85546875" style="53" customWidth="1"/>
    <col min="44" max="44" width="9.140625" style="53"/>
    <col min="45" max="45" width="11" style="53" customWidth="1"/>
    <col min="46" max="46" width="9.28515625" style="53" customWidth="1"/>
    <col min="47" max="47" width="9.7109375" style="53" customWidth="1"/>
    <col min="48" max="48" width="10.7109375" style="53" customWidth="1"/>
    <col min="49" max="49" width="10.42578125" style="53" customWidth="1"/>
    <col min="50" max="50" width="9.42578125" style="53" customWidth="1"/>
    <col min="51" max="51" width="12.5703125" style="53" customWidth="1"/>
    <col min="52" max="52" width="11.5703125" style="53" customWidth="1"/>
    <col min="53" max="53" width="10.7109375" style="53" customWidth="1"/>
    <col min="54" max="54" width="10.5703125" style="53" customWidth="1"/>
    <col min="55" max="56" width="11.140625" style="53" customWidth="1"/>
    <col min="57" max="57" width="10.42578125" style="53" customWidth="1"/>
    <col min="58" max="58" width="10.7109375" style="53" customWidth="1"/>
    <col min="59" max="60" width="9.140625" style="53"/>
    <col min="61" max="61" width="11.140625" style="53" customWidth="1"/>
    <col min="62" max="62" width="9.140625" style="53"/>
    <col min="63" max="63" width="9.5703125" style="53" customWidth="1"/>
    <col min="64" max="16384" width="9.140625" style="53"/>
  </cols>
  <sheetData>
    <row r="2" spans="2:58" ht="24.75" customHeight="1" x14ac:dyDescent="0.25">
      <c r="B2" s="305" t="s">
        <v>68</v>
      </c>
      <c r="C2" s="306"/>
      <c r="D2" s="306"/>
      <c r="E2" s="306"/>
      <c r="F2" s="306"/>
      <c r="G2" s="306"/>
      <c r="H2" s="306"/>
      <c r="I2" s="306"/>
      <c r="J2" s="307"/>
      <c r="L2" s="305" t="s">
        <v>69</v>
      </c>
      <c r="M2" s="306"/>
      <c r="N2" s="306"/>
      <c r="O2" s="306"/>
      <c r="P2" s="306"/>
      <c r="Q2" s="306"/>
      <c r="R2" s="306"/>
      <c r="S2" s="306"/>
      <c r="T2" s="307"/>
      <c r="V2" s="305" t="s">
        <v>70</v>
      </c>
      <c r="W2" s="306"/>
      <c r="X2" s="306"/>
      <c r="Y2" s="306"/>
      <c r="Z2" s="306"/>
      <c r="AA2" s="306"/>
      <c r="AB2" s="306"/>
      <c r="AC2" s="306"/>
      <c r="AD2" s="307"/>
      <c r="AF2" s="323" t="s">
        <v>181</v>
      </c>
      <c r="AG2" s="108" t="s">
        <v>80</v>
      </c>
      <c r="AH2" s="108" t="s">
        <v>27</v>
      </c>
      <c r="AI2" s="108" t="s">
        <v>29</v>
      </c>
      <c r="AJ2" s="108" t="s">
        <v>30</v>
      </c>
      <c r="AK2" s="108" t="s">
        <v>31</v>
      </c>
      <c r="AL2" s="108" t="s">
        <v>32</v>
      </c>
      <c r="AM2" s="108" t="s">
        <v>33</v>
      </c>
      <c r="AN2" s="108" t="s">
        <v>34</v>
      </c>
      <c r="AO2" s="108" t="s">
        <v>43</v>
      </c>
      <c r="AP2" s="108" t="s">
        <v>48</v>
      </c>
      <c r="AQ2" s="108" t="s">
        <v>44</v>
      </c>
      <c r="AS2" s="324" t="s">
        <v>176</v>
      </c>
      <c r="AT2" s="324"/>
      <c r="AU2" s="324" t="s">
        <v>178</v>
      </c>
      <c r="AV2" s="324"/>
      <c r="AX2" s="324" t="s">
        <v>176</v>
      </c>
      <c r="AY2" s="324"/>
      <c r="AZ2" s="324" t="s">
        <v>178</v>
      </c>
      <c r="BA2" s="324"/>
      <c r="BC2" s="324" t="s">
        <v>176</v>
      </c>
      <c r="BD2" s="324"/>
      <c r="BE2" s="324" t="s">
        <v>178</v>
      </c>
      <c r="BF2" s="324"/>
    </row>
    <row r="3" spans="2:58" ht="21" customHeight="1" x14ac:dyDescent="0.25">
      <c r="B3" s="308"/>
      <c r="C3" s="309"/>
      <c r="D3" s="309"/>
      <c r="E3" s="309"/>
      <c r="F3" s="309"/>
      <c r="G3" s="309"/>
      <c r="H3" s="309"/>
      <c r="I3" s="309"/>
      <c r="J3" s="310"/>
      <c r="L3" s="308"/>
      <c r="M3" s="309"/>
      <c r="N3" s="309"/>
      <c r="O3" s="309"/>
      <c r="P3" s="309"/>
      <c r="Q3" s="309"/>
      <c r="R3" s="309"/>
      <c r="S3" s="309"/>
      <c r="T3" s="310"/>
      <c r="V3" s="308"/>
      <c r="W3" s="309"/>
      <c r="X3" s="309"/>
      <c r="Y3" s="309"/>
      <c r="Z3" s="309"/>
      <c r="AA3" s="309"/>
      <c r="AB3" s="309"/>
      <c r="AC3" s="309"/>
      <c r="AD3" s="310"/>
      <c r="AF3" s="323"/>
      <c r="AG3" s="110" t="s">
        <v>68</v>
      </c>
      <c r="AH3" s="75">
        <f>COUNTIFS(JOURNAL!F:F,"1",JOURNAL!O:O,"TP")</f>
        <v>0</v>
      </c>
      <c r="AI3" s="75">
        <f>COUNTIFS(JOURNAL!F:F,"1",JOURNAL!O:O,"SL")</f>
        <v>0</v>
      </c>
      <c r="AJ3" s="75">
        <f>COUNTIFS(JOURNAL!F:F,"1",JOURNAL!O:O,"PS")</f>
        <v>0</v>
      </c>
      <c r="AK3" s="75">
        <f>COUNTIFS(JOURNAL!F:F,"1",JOURNAL!O:O,"LS")</f>
        <v>0</v>
      </c>
      <c r="AL3" s="75">
        <f>COUNTIFS(JOURNAL!F:F,"1",JOURNAL!O:O,"RF")</f>
        <v>0</v>
      </c>
      <c r="AM3" s="75">
        <f>COUNTIFS(JOURNAL!F:F,"1",JOURNAL!O:O,"OT +")</f>
        <v>0</v>
      </c>
      <c r="AN3" s="75">
        <f>COUNTIFS(JOURNAL!F:F,"1",JOURNAL!O:O,"OT -")</f>
        <v>0</v>
      </c>
      <c r="AO3" s="75">
        <f>COUNTIF(JOURNAL!F:F,"1")</f>
        <v>0</v>
      </c>
      <c r="AP3" s="76">
        <f>SUMIF(JOURNAL!F:F,"1",JOURNAL!Q:Q)</f>
        <v>0</v>
      </c>
      <c r="AQ3" s="76" t="e">
        <f t="shared" ref="AQ3:AQ14" si="0">SUM(AH3,AJ3,AM3,AL3)/AO3</f>
        <v>#DIV/0!</v>
      </c>
      <c r="AS3" s="325" t="s">
        <v>48</v>
      </c>
      <c r="AT3" s="325"/>
      <c r="AU3" s="325" t="s">
        <v>48</v>
      </c>
      <c r="AV3" s="325"/>
      <c r="AX3" s="325" t="s">
        <v>44</v>
      </c>
      <c r="AY3" s="325"/>
      <c r="AZ3" s="325" t="s">
        <v>44</v>
      </c>
      <c r="BA3" s="325"/>
      <c r="BC3" s="325" t="s">
        <v>48</v>
      </c>
      <c r="BD3" s="325"/>
      <c r="BE3" s="325" t="s">
        <v>48</v>
      </c>
      <c r="BF3" s="325"/>
    </row>
    <row r="4" spans="2:58" ht="19.5" customHeight="1" x14ac:dyDescent="0.25">
      <c r="B4" s="311" t="s">
        <v>62</v>
      </c>
      <c r="C4" s="54" t="s">
        <v>27</v>
      </c>
      <c r="D4" s="122">
        <f>COUNTIFS(JOURNAL!F:F,"1",JOURNAL!G:G,"1-10",JOURNAL!O:O,"TP")</f>
        <v>0</v>
      </c>
      <c r="E4" s="311" t="s">
        <v>63</v>
      </c>
      <c r="F4" s="54" t="s">
        <v>27</v>
      </c>
      <c r="G4" s="122">
        <f>COUNTIFS(JOURNAL!F:F,"1",JOURNAL!G:G,"11-20",JOURNAL!O:O,"TP")</f>
        <v>0</v>
      </c>
      <c r="H4" s="311" t="s">
        <v>64</v>
      </c>
      <c r="I4" s="54" t="s">
        <v>27</v>
      </c>
      <c r="J4" s="122">
        <f>COUNTIFS(JOURNAL!F:F,"1",JOURNAL!G:G,"21-31",JOURNAL!O:O,"TP")</f>
        <v>0</v>
      </c>
      <c r="L4" s="311" t="s">
        <v>62</v>
      </c>
      <c r="M4" s="54" t="s">
        <v>27</v>
      </c>
      <c r="N4" s="122">
        <f>COUNTIFS(JOURNAL!F:F,"2",JOURNAL!G:G,"1-10",JOURNAL!O:O,"TP")</f>
        <v>0</v>
      </c>
      <c r="O4" s="311" t="s">
        <v>63</v>
      </c>
      <c r="P4" s="54" t="s">
        <v>27</v>
      </c>
      <c r="Q4" s="122">
        <f>COUNTIFS(JOURNAL!F:F,"2",JOURNAL!G:G,"11-20",JOURNAL!O:O,"TP")</f>
        <v>0</v>
      </c>
      <c r="R4" s="311" t="s">
        <v>64</v>
      </c>
      <c r="S4" s="54" t="s">
        <v>27</v>
      </c>
      <c r="T4" s="122">
        <f>COUNTIFS(JOURNAL!F:F,"2",JOURNAL!G:G,"21-31",JOURNAL!O:O,"TP")</f>
        <v>0</v>
      </c>
      <c r="V4" s="311" t="s">
        <v>62</v>
      </c>
      <c r="W4" s="54" t="s">
        <v>27</v>
      </c>
      <c r="X4" s="48">
        <f>COUNTIFS(JOURNAL!F:F,"3",JOURNAL!G:G,"1-10",JOURNAL!O:O,"TP")</f>
        <v>0</v>
      </c>
      <c r="Y4" s="311" t="s">
        <v>63</v>
      </c>
      <c r="Z4" s="54" t="s">
        <v>27</v>
      </c>
      <c r="AA4" s="48">
        <f>COUNTIFS(JOURNAL!F:F,"3",JOURNAL!G:G,"11-20",JOURNAL!O:O,"TP")</f>
        <v>0</v>
      </c>
      <c r="AB4" s="311" t="s">
        <v>64</v>
      </c>
      <c r="AC4" s="54" t="s">
        <v>27</v>
      </c>
      <c r="AD4" s="48">
        <f>COUNTIFS(JOURNAL!F:F,"3",JOURNAL!G:G,"21-31",JOURNAL!O:O,"TP")</f>
        <v>0</v>
      </c>
      <c r="AF4" s="323"/>
      <c r="AG4" s="110" t="s">
        <v>69</v>
      </c>
      <c r="AH4" s="48">
        <f>COUNTIFS(JOURNAL!F:F,"2",JOURNAL!O:O,"TP")</f>
        <v>0</v>
      </c>
      <c r="AI4" s="48">
        <f>COUNTIFS(JOURNAL!F:F,"2",JOURNAL!O:O,"SL")</f>
        <v>0</v>
      </c>
      <c r="AJ4" s="48">
        <f>COUNTIFS(JOURNAL!F:F,"2",JOURNAL!O:O,"PS")</f>
        <v>0</v>
      </c>
      <c r="AK4" s="48">
        <f>COUNTIFS(JOURNAL!F:F,"2",JOURNAL!O:O,"LS")</f>
        <v>0</v>
      </c>
      <c r="AL4" s="48">
        <f>COUNTIFS(JOURNAL!F:F,"2",JOURNAL!O:O,"RF")</f>
        <v>0</v>
      </c>
      <c r="AM4" s="48">
        <f>COUNTIFS(JOURNAL!F:F,"2",JOURNAL!O:O,"OT +")</f>
        <v>0</v>
      </c>
      <c r="AN4" s="48">
        <f>COUNTIFS(JOURNAL!F:F,"2",JOURNAL!O:O,"OT -")</f>
        <v>0</v>
      </c>
      <c r="AO4" s="48">
        <f>COUNTIF(JOURNAL!F:F,"2")</f>
        <v>0</v>
      </c>
      <c r="AP4" s="185">
        <f>SUMIF(JOURNAL!F:F,"2",JOURNAL!Q:Q)</f>
        <v>0</v>
      </c>
      <c r="AQ4" s="77" t="e">
        <f t="shared" si="0"/>
        <v>#DIV/0!</v>
      </c>
      <c r="AS4" s="328">
        <f>SMALL(AP3:AP14,12)</f>
        <v>0</v>
      </c>
      <c r="AT4" s="329"/>
      <c r="AU4" s="328">
        <f>SMALL(AP18:AP29,12)</f>
        <v>0</v>
      </c>
      <c r="AV4" s="329"/>
      <c r="AX4" s="328" t="e">
        <f>SMALL(AQ3:AQ14,12)</f>
        <v>#DIV/0!</v>
      </c>
      <c r="AY4" s="329"/>
      <c r="AZ4" s="328" t="e">
        <f>SMALL(AQ18:AQ29,12)</f>
        <v>#DIV/0!</v>
      </c>
      <c r="BA4" s="329"/>
      <c r="BC4" s="348">
        <f>AP15</f>
        <v>0</v>
      </c>
      <c r="BD4" s="349"/>
      <c r="BE4" s="348">
        <f>AP30</f>
        <v>0</v>
      </c>
      <c r="BF4" s="349"/>
    </row>
    <row r="5" spans="2:58" ht="19.5" customHeight="1" x14ac:dyDescent="0.25">
      <c r="B5" s="312"/>
      <c r="C5" s="55" t="s">
        <v>29</v>
      </c>
      <c r="D5" s="122">
        <f>COUNTIFS(JOURNAL!F:F,"1",JOURNAL!G:G,"1-10",JOURNAL!O:O,"SL")</f>
        <v>0</v>
      </c>
      <c r="E5" s="312"/>
      <c r="F5" s="55" t="s">
        <v>29</v>
      </c>
      <c r="G5" s="122">
        <f>COUNTIFS(JOURNAL!F:F,"1",JOURNAL!G:G,"11-20",JOURNAL!O:O,"SL")</f>
        <v>0</v>
      </c>
      <c r="H5" s="312"/>
      <c r="I5" s="55" t="s">
        <v>29</v>
      </c>
      <c r="J5" s="122">
        <f>COUNTIFS(JOURNAL!F:F,"1",JOURNAL!G:G,"21-31",JOURNAL!O:O,"SL")</f>
        <v>0</v>
      </c>
      <c r="L5" s="312"/>
      <c r="M5" s="55" t="s">
        <v>29</v>
      </c>
      <c r="N5" s="122">
        <f>COUNTIFS(JOURNAL!F:F,"2",JOURNAL!G:G,"1-10",JOURNAL!O:O,"SL")</f>
        <v>0</v>
      </c>
      <c r="O5" s="312"/>
      <c r="P5" s="55" t="s">
        <v>29</v>
      </c>
      <c r="Q5" s="122">
        <f>COUNTIFS(JOURNAL!F:F,"2",JOURNAL!G:G,"11-20",JOURNAL!O:O,"SL")</f>
        <v>0</v>
      </c>
      <c r="R5" s="312"/>
      <c r="S5" s="55" t="s">
        <v>29</v>
      </c>
      <c r="T5" s="122">
        <f>COUNTIFS(JOURNAL!F:F,"2",JOURNAL!G:G,"21-31",JOURNAL!O:O,"SL")</f>
        <v>0</v>
      </c>
      <c r="V5" s="312"/>
      <c r="W5" s="55" t="s">
        <v>29</v>
      </c>
      <c r="X5" s="48">
        <f>COUNTIFS(JOURNAL!F:F,"3",JOURNAL!G:G,"1-10",JOURNAL!O:O,"SL")</f>
        <v>0</v>
      </c>
      <c r="Y5" s="312"/>
      <c r="Z5" s="55" t="s">
        <v>29</v>
      </c>
      <c r="AA5" s="48">
        <f>COUNTIFS(JOURNAL!F:F,"3",JOURNAL!G:G,"11-20",JOURNAL!O:O,"SL")</f>
        <v>0</v>
      </c>
      <c r="AB5" s="312"/>
      <c r="AC5" s="55" t="s">
        <v>29</v>
      </c>
      <c r="AD5" s="48">
        <f>COUNTIFS(JOURNAL!F:F,"3",JOURNAL!G:G,"21-31",JOURNAL!O:O,"SL")</f>
        <v>0</v>
      </c>
      <c r="AF5" s="323"/>
      <c r="AG5" s="110" t="s">
        <v>70</v>
      </c>
      <c r="AH5" s="75">
        <f>COUNTIFS(JOURNAL!F:F,"3",JOURNAL!O:O,"TP")</f>
        <v>0</v>
      </c>
      <c r="AI5" s="75">
        <f>COUNTIFS(JOURNAL!F:F,"3",JOURNAL!O:O,"SL")</f>
        <v>0</v>
      </c>
      <c r="AJ5" s="75">
        <f>COUNTIFS(JOURNAL!F:F,"3",JOURNAL!O:O,"PS")</f>
        <v>0</v>
      </c>
      <c r="AK5" s="75">
        <f>COUNTIFS(JOURNAL!F:F,"3",JOURNAL!O:O,"LS")</f>
        <v>0</v>
      </c>
      <c r="AL5" s="75">
        <f>COUNTIFS(JOURNAL!F:F,"3",JOURNAL!O:O,"RF")</f>
        <v>0</v>
      </c>
      <c r="AM5" s="75">
        <f>COUNTIFS(JOURNAL!F:F,"3",JOURNAL!O:O,"OT +")</f>
        <v>0</v>
      </c>
      <c r="AN5" s="75">
        <f>COUNTIFS(JOURNAL!F:F,"3",JOURNAL!O:O,"OT -")</f>
        <v>0</v>
      </c>
      <c r="AO5" s="75">
        <f>COUNTIF(JOURNAL!F:F,"3")</f>
        <v>0</v>
      </c>
      <c r="AP5" s="76">
        <f>SUMIF(JOURNAL!F:F,"3",JOURNAL!Q:Q)</f>
        <v>0</v>
      </c>
      <c r="AQ5" s="76" t="e">
        <f t="shared" si="0"/>
        <v>#DIV/0!</v>
      </c>
      <c r="AS5" s="326">
        <f>SMALL(AP3:AP14,11)</f>
        <v>0</v>
      </c>
      <c r="AT5" s="327"/>
      <c r="AU5" s="326">
        <f>SMALL(AP18:AP29,11)</f>
        <v>0</v>
      </c>
      <c r="AV5" s="327"/>
      <c r="AX5" s="326" t="e">
        <f>SMALL(AQ3:AQ14,11)</f>
        <v>#DIV/0!</v>
      </c>
      <c r="AY5" s="327"/>
      <c r="AZ5" s="326" t="e">
        <f>SMALL(AQ18:AQ29,11)</f>
        <v>#DIV/0!</v>
      </c>
      <c r="BA5" s="327"/>
    </row>
    <row r="6" spans="2:58" ht="21.75" customHeight="1" x14ac:dyDescent="0.25">
      <c r="B6" s="312"/>
      <c r="C6" s="56" t="s">
        <v>32</v>
      </c>
      <c r="D6" s="122">
        <f>COUNTIFS(JOURNAL!F:F,"1",JOURNAL!G:G,"1-10",JOURNAL!O:O,"RF")</f>
        <v>0</v>
      </c>
      <c r="E6" s="312"/>
      <c r="F6" s="56" t="s">
        <v>32</v>
      </c>
      <c r="G6" s="122">
        <f>COUNTIFS(JOURNAL!F:F,"1",JOURNAL!G:G,"11-20",JOURNAL!O:O,"RF")</f>
        <v>0</v>
      </c>
      <c r="H6" s="312"/>
      <c r="I6" s="56" t="s">
        <v>32</v>
      </c>
      <c r="J6" s="122">
        <f>COUNTIFS(JOURNAL!F:F,"1",JOURNAL!G:G,"21-31",JOURNAL!O:O,"RF")</f>
        <v>0</v>
      </c>
      <c r="L6" s="312"/>
      <c r="M6" s="56" t="s">
        <v>32</v>
      </c>
      <c r="N6" s="122">
        <f>COUNTIFS(JOURNAL!F:F,"2",JOURNAL!G:G,"1-10",JOURNAL!O:O,"RF")</f>
        <v>0</v>
      </c>
      <c r="O6" s="312"/>
      <c r="P6" s="56" t="s">
        <v>32</v>
      </c>
      <c r="Q6" s="122">
        <f>COUNTIFS(JOURNAL!F:F,"2",JOURNAL!G:G,"11-20",JOURNAL!O:O,"RF")</f>
        <v>0</v>
      </c>
      <c r="R6" s="312"/>
      <c r="S6" s="56" t="s">
        <v>32</v>
      </c>
      <c r="T6" s="122">
        <f>COUNTIFS(JOURNAL!F:F,"2",JOURNAL!G:G,"21-31",JOURNAL!O:O,"RF")</f>
        <v>0</v>
      </c>
      <c r="V6" s="312"/>
      <c r="W6" s="56" t="s">
        <v>32</v>
      </c>
      <c r="X6" s="48">
        <f>COUNTIFS(JOURNAL!F:F,"3",JOURNAL!G:G,"1-10",JOURNAL!O:O,"RF")</f>
        <v>0</v>
      </c>
      <c r="Y6" s="312"/>
      <c r="Z6" s="56" t="s">
        <v>32</v>
      </c>
      <c r="AA6" s="48">
        <f>COUNTIFS(JOURNAL!F:F,"3",JOURNAL!G:G,"11-20",JOURNAL!O:O,"RF")</f>
        <v>0</v>
      </c>
      <c r="AB6" s="312"/>
      <c r="AC6" s="56" t="s">
        <v>32</v>
      </c>
      <c r="AD6" s="48">
        <f>COUNTIFS(JOURNAL!F:F,"3",JOURNAL!G:G,"21-31",JOURNAL!O:O,"RF")</f>
        <v>0</v>
      </c>
      <c r="AF6" s="323"/>
      <c r="AG6" s="110" t="s">
        <v>71</v>
      </c>
      <c r="AH6" s="48">
        <f>COUNTIFS(JOURNAL!F:F,"4",JOURNAL!O:O,"TP")</f>
        <v>0</v>
      </c>
      <c r="AI6" s="48">
        <f>COUNTIFS(JOURNAL!F:F,"4",JOURNAL!O:O,"SL")</f>
        <v>0</v>
      </c>
      <c r="AJ6" s="48">
        <f>COUNTIFS(JOURNAL!F:F,"4",JOURNAL!O:O,"PS")</f>
        <v>0</v>
      </c>
      <c r="AK6" s="48">
        <f>COUNTIFS(JOURNAL!F:F,"4",JOURNAL!O:O,"LS")</f>
        <v>0</v>
      </c>
      <c r="AL6" s="48">
        <f>COUNTIFS(JOURNAL!F:F,"4",JOURNAL!O:O,"RF")</f>
        <v>0</v>
      </c>
      <c r="AM6" s="48">
        <f>COUNTIFS(JOURNAL!F:F,"4",JOURNAL!O:O,"OT +")</f>
        <v>0</v>
      </c>
      <c r="AN6" s="48">
        <f>COUNTIFS(JOURNAL!F:F,"4",JOURNAL!O:O,"OT -")</f>
        <v>0</v>
      </c>
      <c r="AO6" s="48">
        <f>COUNTIF(JOURNAL!F:F,"4")</f>
        <v>0</v>
      </c>
      <c r="AP6" s="185">
        <f>SUMIF(JOURNAL!F:F,"4",JOURNAL!Q:Q)</f>
        <v>0</v>
      </c>
      <c r="AQ6" s="77" t="e">
        <f t="shared" si="0"/>
        <v>#DIV/0!</v>
      </c>
      <c r="AS6" s="340">
        <f>SMALL(AP3:AP14,10)</f>
        <v>0</v>
      </c>
      <c r="AT6" s="341"/>
      <c r="AU6" s="340">
        <f>SMALL(AP18:AP29,10)</f>
        <v>0</v>
      </c>
      <c r="AV6" s="341"/>
      <c r="AX6" s="340" t="e">
        <f>SMALL(AQ3:AQ14,10)</f>
        <v>#DIV/0!</v>
      </c>
      <c r="AY6" s="341"/>
      <c r="AZ6" s="340" t="e">
        <f>SMALL(AQ18:AQ29,10)</f>
        <v>#DIV/0!</v>
      </c>
      <c r="BA6" s="341"/>
      <c r="BC6" s="324" t="s">
        <v>176</v>
      </c>
      <c r="BD6" s="324"/>
      <c r="BE6" s="324" t="s">
        <v>178</v>
      </c>
      <c r="BF6" s="324"/>
    </row>
    <row r="7" spans="2:58" ht="20.25" customHeight="1" x14ac:dyDescent="0.25">
      <c r="B7" s="312"/>
      <c r="C7" s="57" t="s">
        <v>30</v>
      </c>
      <c r="D7" s="122">
        <f>COUNTIFS(JOURNAL!F:F,"1",JOURNAL!G:G,"1-10",JOURNAL!O:O,"PS")</f>
        <v>0</v>
      </c>
      <c r="E7" s="312"/>
      <c r="F7" s="57" t="s">
        <v>30</v>
      </c>
      <c r="G7" s="122">
        <f>COUNTIFS(JOURNAL!F:F,"1",JOURNAL!G:G,"11-20",JOURNAL!O:O,"PS")</f>
        <v>0</v>
      </c>
      <c r="H7" s="312"/>
      <c r="I7" s="57" t="s">
        <v>30</v>
      </c>
      <c r="J7" s="122">
        <f>COUNTIFS(JOURNAL!F:F,"1",JOURNAL!G:G,"21-31",JOURNAL!O:O,"PS")</f>
        <v>0</v>
      </c>
      <c r="L7" s="312"/>
      <c r="M7" s="57" t="s">
        <v>30</v>
      </c>
      <c r="N7" s="122">
        <f>COUNTIFS(JOURNAL!F:F,"2",JOURNAL!G:G,"1-10",JOURNAL!O:O,"PS")</f>
        <v>0</v>
      </c>
      <c r="O7" s="312"/>
      <c r="P7" s="57" t="s">
        <v>30</v>
      </c>
      <c r="Q7" s="122">
        <f>COUNTIFS(JOURNAL!F:F,"2",JOURNAL!G:G,"11-20",JOURNAL!O:O,"PS")</f>
        <v>0</v>
      </c>
      <c r="R7" s="312"/>
      <c r="S7" s="57" t="s">
        <v>30</v>
      </c>
      <c r="T7" s="122">
        <f>COUNTIFS(JOURNAL!F:F,"2",JOURNAL!G:G,"21-31",JOURNAL!O:O,"PS")</f>
        <v>0</v>
      </c>
      <c r="V7" s="312"/>
      <c r="W7" s="57" t="s">
        <v>30</v>
      </c>
      <c r="X7" s="48">
        <f>COUNTIFS(JOURNAL!F:F,"3",JOURNAL!G:G,"1-10",JOURNAL!O:O,"PS")</f>
        <v>0</v>
      </c>
      <c r="Y7" s="312"/>
      <c r="Z7" s="57" t="s">
        <v>30</v>
      </c>
      <c r="AA7" s="48">
        <f>COUNTIFS(JOURNAL!F:F,"3",JOURNAL!G:G,"11-20",JOURNAL!O:O,"PS")</f>
        <v>0</v>
      </c>
      <c r="AB7" s="312"/>
      <c r="AC7" s="57" t="s">
        <v>30</v>
      </c>
      <c r="AD7" s="48">
        <f>COUNTIFS(JOURNAL!F:F,"3",JOURNAL!G:G,"21-31",JOURNAL!O:O,"PS")</f>
        <v>0</v>
      </c>
      <c r="AF7" s="323"/>
      <c r="AG7" s="110" t="s">
        <v>72</v>
      </c>
      <c r="AH7" s="75">
        <f>COUNTIFS(JOURNAL!F:F,"5",JOURNAL!O:O,"TP")</f>
        <v>0</v>
      </c>
      <c r="AI7" s="75">
        <f>COUNTIFS(JOURNAL!F:F,"5",JOURNAL!O:O,"SL")</f>
        <v>0</v>
      </c>
      <c r="AJ7" s="75">
        <f>COUNTIFS(JOURNAL!F:F,"5",JOURNAL!O:O,"PS")</f>
        <v>0</v>
      </c>
      <c r="AK7" s="75">
        <f>COUNTIFS(JOURNAL!F:F,"5",JOURNAL!O:O,"LS")</f>
        <v>0</v>
      </c>
      <c r="AL7" s="75">
        <f>COUNTIFS(JOURNAL!F:F,"5",JOURNAL!O:O,"RF")</f>
        <v>0</v>
      </c>
      <c r="AM7" s="75">
        <f>COUNTIFS(JOURNAL!F:F,"5",JOURNAL!O:O,"OT +")</f>
        <v>0</v>
      </c>
      <c r="AN7" s="75">
        <f>COUNTIFS(JOURNAL!F:F,"5",JOURNAL!O:O,"OT -")</f>
        <v>0</v>
      </c>
      <c r="AO7" s="75">
        <f>COUNTIF(JOURNAL!F:F,"5")</f>
        <v>0</v>
      </c>
      <c r="AP7" s="76">
        <f>SUMIF(JOURNAL!F:F,"5",JOURNAL!Q:Q)</f>
        <v>0</v>
      </c>
      <c r="AQ7" s="76" t="e">
        <f t="shared" si="0"/>
        <v>#DIV/0!</v>
      </c>
      <c r="AS7" s="338">
        <f>SMALL(AP3:AP14,9)</f>
        <v>0</v>
      </c>
      <c r="AT7" s="339"/>
      <c r="AU7" s="338">
        <f>SMALL(AP18:AP29,9)</f>
        <v>0</v>
      </c>
      <c r="AV7" s="339"/>
      <c r="AX7" s="338" t="e">
        <f>SMALL(AQ3:AQ14,9)</f>
        <v>#DIV/0!</v>
      </c>
      <c r="AY7" s="339"/>
      <c r="AZ7" s="338" t="e">
        <f>SMALL(AQ18:AQ29,9)</f>
        <v>#DIV/0!</v>
      </c>
      <c r="BA7" s="339"/>
      <c r="BC7" s="325" t="s">
        <v>44</v>
      </c>
      <c r="BD7" s="325"/>
      <c r="BE7" s="325" t="s">
        <v>44</v>
      </c>
      <c r="BF7" s="325"/>
    </row>
    <row r="8" spans="2:58" ht="18.75" x14ac:dyDescent="0.25">
      <c r="B8" s="312"/>
      <c r="C8" s="58" t="s">
        <v>31</v>
      </c>
      <c r="D8" s="122">
        <f>COUNTIFS(JOURNAL!F:F,"1",JOURNAL!G:G,"1-10",JOURNAL!O:O,"LS")</f>
        <v>0</v>
      </c>
      <c r="E8" s="312"/>
      <c r="F8" s="58" t="s">
        <v>31</v>
      </c>
      <c r="G8" s="122">
        <f>COUNTIFS(JOURNAL!F:F,"1",JOURNAL!G:G,"11-20",JOURNAL!O:O,"LS")</f>
        <v>0</v>
      </c>
      <c r="H8" s="312"/>
      <c r="I8" s="58" t="s">
        <v>31</v>
      </c>
      <c r="J8" s="122">
        <f>COUNTIFS(JOURNAL!F:F,"1",JOURNAL!G:G,"21-31",JOURNAL!O:O,"LS")</f>
        <v>0</v>
      </c>
      <c r="L8" s="312"/>
      <c r="M8" s="58" t="s">
        <v>31</v>
      </c>
      <c r="N8" s="122">
        <f>COUNTIFS(JOURNAL!F:F,"2",JOURNAL!G:G,"1-10",JOURNAL!O:O,"LS")</f>
        <v>0</v>
      </c>
      <c r="O8" s="312"/>
      <c r="P8" s="58" t="s">
        <v>31</v>
      </c>
      <c r="Q8" s="122">
        <f>COUNTIFS(JOURNAL!F:F,"2",JOURNAL!G:G,"11-20",JOURNAL!O:O,"LS")</f>
        <v>0</v>
      </c>
      <c r="R8" s="312"/>
      <c r="S8" s="58" t="s">
        <v>31</v>
      </c>
      <c r="T8" s="122">
        <f>COUNTIFS(JOURNAL!F:F,"2",JOURNAL!G:G,"21-31",JOURNAL!O:O,"LS")</f>
        <v>0</v>
      </c>
      <c r="V8" s="312"/>
      <c r="W8" s="58" t="s">
        <v>31</v>
      </c>
      <c r="X8" s="48">
        <f>COUNTIFS(JOURNAL!F:F,"3",JOURNAL!G:G,"1-10",JOURNAL!O:O,"LS")</f>
        <v>0</v>
      </c>
      <c r="Y8" s="312"/>
      <c r="Z8" s="58" t="s">
        <v>31</v>
      </c>
      <c r="AA8" s="48">
        <f>COUNTIFS(JOURNAL!F:F,"3",JOURNAL!G:G,"11-20",JOURNAL!O:O,"LS")</f>
        <v>0</v>
      </c>
      <c r="AB8" s="312"/>
      <c r="AC8" s="58" t="s">
        <v>31</v>
      </c>
      <c r="AD8" s="48">
        <f>COUNTIFS(JOURNAL!F:F,"3",JOURNAL!G:G,"21-31",JOURNAL!O:O,"LS")</f>
        <v>0</v>
      </c>
      <c r="AF8" s="323"/>
      <c r="AG8" s="110" t="s">
        <v>73</v>
      </c>
      <c r="AH8" s="48">
        <f>COUNTIFS(JOURNAL!F:F,"6",JOURNAL!O:O,"TP")</f>
        <v>0</v>
      </c>
      <c r="AI8" s="48">
        <f>COUNTIFS(JOURNAL!F:F,"6",JOURNAL!O:O,"SL")</f>
        <v>0</v>
      </c>
      <c r="AJ8" s="48">
        <f>COUNTIFS(JOURNAL!F:F,"6",JOURNAL!O:O,"PS")</f>
        <v>0</v>
      </c>
      <c r="AK8" s="48">
        <f>COUNTIFS(JOURNAL!F:F,"6",JOURNAL!O:O,"LS")</f>
        <v>0</v>
      </c>
      <c r="AL8" s="48">
        <f>COUNTIFS(JOURNAL!F:F,"6",JOURNAL!O:O,"RF")</f>
        <v>0</v>
      </c>
      <c r="AM8" s="48">
        <f>COUNTIFS(JOURNAL!F:F,"6",JOURNAL!O:O,"OT +")</f>
        <v>0</v>
      </c>
      <c r="AN8" s="48">
        <f>COUNTIFS(JOURNAL!F:F,"6",JOURNAL!O:O,"OT -")</f>
        <v>0</v>
      </c>
      <c r="AO8" s="48">
        <f>COUNTIF(JOURNAL!F:F,"6")</f>
        <v>0</v>
      </c>
      <c r="AP8" s="185">
        <f>SUMIF(JOURNAL!F:F,"6",JOURNAL!Q:Q)</f>
        <v>0</v>
      </c>
      <c r="AQ8" s="77" t="e">
        <f t="shared" si="0"/>
        <v>#DIV/0!</v>
      </c>
      <c r="AS8" s="338">
        <f>SMALL(AP3:AP14,8)</f>
        <v>0</v>
      </c>
      <c r="AT8" s="339"/>
      <c r="AU8" s="338">
        <f>SMALL(AP18:AP29,8)</f>
        <v>0</v>
      </c>
      <c r="AV8" s="339"/>
      <c r="AX8" s="338" t="e">
        <f>SMALL(AQ3:AQ14,8)</f>
        <v>#DIV/0!</v>
      </c>
      <c r="AY8" s="339"/>
      <c r="AZ8" s="338" t="e">
        <f>SMALL(AQ18:AQ29,8)</f>
        <v>#DIV/0!</v>
      </c>
      <c r="BA8" s="339"/>
      <c r="BC8" s="348" t="e">
        <f>AQ15</f>
        <v>#DIV/0!</v>
      </c>
      <c r="BD8" s="349"/>
      <c r="BE8" s="348" t="e">
        <f>AQ30</f>
        <v>#DIV/0!</v>
      </c>
      <c r="BF8" s="349"/>
    </row>
    <row r="9" spans="2:58" ht="18.75" x14ac:dyDescent="0.25">
      <c r="B9" s="312"/>
      <c r="C9" s="59" t="s">
        <v>33</v>
      </c>
      <c r="D9" s="122">
        <f>COUNTIFS(JOURNAL!F:F,"1",JOURNAL!G:G,"1-10",JOURNAL!O:O,"OT +")</f>
        <v>0</v>
      </c>
      <c r="E9" s="312"/>
      <c r="F9" s="59" t="s">
        <v>33</v>
      </c>
      <c r="G9" s="122">
        <f>COUNTIFS(JOURNAL!F:F,"1",JOURNAL!G:G,"11-20",JOURNAL!O:O,"OT +")</f>
        <v>0</v>
      </c>
      <c r="H9" s="312"/>
      <c r="I9" s="59" t="s">
        <v>33</v>
      </c>
      <c r="J9" s="122">
        <f>COUNTIFS(JOURNAL!F:F,"1",JOURNAL!G:G,"21-31",JOURNAL!O:O,"OT +")</f>
        <v>0</v>
      </c>
      <c r="L9" s="312"/>
      <c r="M9" s="59" t="s">
        <v>33</v>
      </c>
      <c r="N9" s="122">
        <f>COUNTIFS(JOURNAL!F:F,"2",JOURNAL!G:G,"1-10",JOURNAL!O:O,"OT +")</f>
        <v>0</v>
      </c>
      <c r="O9" s="312"/>
      <c r="P9" s="59" t="s">
        <v>33</v>
      </c>
      <c r="Q9" s="122">
        <f>COUNTIFS(JOURNAL!F:F,"2",JOURNAL!G:G,"11-20",JOURNAL!O:O,"OT +")</f>
        <v>0</v>
      </c>
      <c r="R9" s="312"/>
      <c r="S9" s="59" t="s">
        <v>33</v>
      </c>
      <c r="T9" s="122">
        <f>COUNTIFS(JOURNAL!F:F,"2",JOURNAL!G:G,"21-31",JOURNAL!O:O,"OT +")</f>
        <v>0</v>
      </c>
      <c r="V9" s="312"/>
      <c r="W9" s="59" t="s">
        <v>33</v>
      </c>
      <c r="X9" s="48">
        <f>COUNTIFS(JOURNAL!F:F,"3",JOURNAL!G:G,"1-10",JOURNAL!O:O,"OT +")</f>
        <v>0</v>
      </c>
      <c r="Y9" s="312"/>
      <c r="Z9" s="59" t="s">
        <v>33</v>
      </c>
      <c r="AA9" s="48">
        <f>COUNTIFS(JOURNAL!F:F,"3",JOURNAL!G:G,"11-20",JOURNAL!O:O,"OT +")</f>
        <v>0</v>
      </c>
      <c r="AB9" s="312"/>
      <c r="AC9" s="59" t="s">
        <v>33</v>
      </c>
      <c r="AD9" s="48">
        <f>COUNTIFS(JOURNAL!F:F,"3",JOURNAL!G:G,"21-31",JOURNAL!O:O,"OT +")</f>
        <v>0</v>
      </c>
      <c r="AF9" s="323"/>
      <c r="AG9" s="110" t="s">
        <v>74</v>
      </c>
      <c r="AH9" s="75">
        <f>COUNTIFS(JOURNAL!F:F,"7",JOURNAL!O:O,"TP")</f>
        <v>0</v>
      </c>
      <c r="AI9" s="75">
        <f>COUNTIFS(JOURNAL!F:F,"7",JOURNAL!O:O,"SL")</f>
        <v>0</v>
      </c>
      <c r="AJ9" s="75">
        <f>COUNTIFS(JOURNAL!F:F,"7",JOURNAL!O:O,"PS")</f>
        <v>0</v>
      </c>
      <c r="AK9" s="75">
        <f>COUNTIFS(JOURNAL!F:F,"7",JOURNAL!O:O,"LS")</f>
        <v>0</v>
      </c>
      <c r="AL9" s="75">
        <f>COUNTIFS(JOURNAL!F:F,"7",JOURNAL!O:O,"RF")</f>
        <v>0</v>
      </c>
      <c r="AM9" s="75">
        <f>COUNTIFS(JOURNAL!F:F,"7",JOURNAL!O:O,"OT +")</f>
        <v>0</v>
      </c>
      <c r="AN9" s="75">
        <f>COUNTIFS(JOURNAL!F:F,"7",JOURNAL!O:O,"OT -")</f>
        <v>0</v>
      </c>
      <c r="AO9" s="75">
        <f>COUNTIF(JOURNAL!F:F,"7")</f>
        <v>0</v>
      </c>
      <c r="AP9" s="76">
        <f>SUMIF(JOURNAL!F:F,"7",JOURNAL!Q:Q)</f>
        <v>0</v>
      </c>
      <c r="AQ9" s="76" t="e">
        <f t="shared" si="0"/>
        <v>#DIV/0!</v>
      </c>
      <c r="AS9" s="336">
        <f>SMALL(AP3:AP14,7)</f>
        <v>0</v>
      </c>
      <c r="AT9" s="337"/>
      <c r="AU9" s="336">
        <f>SMALL(AP18:AP29,7)</f>
        <v>0</v>
      </c>
      <c r="AV9" s="337"/>
      <c r="AX9" s="336" t="e">
        <f>SMALL(AQ3:AQ14,7)</f>
        <v>#DIV/0!</v>
      </c>
      <c r="AY9" s="337"/>
      <c r="AZ9" s="336" t="e">
        <f>SMALL(AQ18:AQ29,7)</f>
        <v>#DIV/0!</v>
      </c>
      <c r="BA9" s="337"/>
    </row>
    <row r="10" spans="2:58" ht="18.75" x14ac:dyDescent="0.25">
      <c r="B10" s="313"/>
      <c r="C10" s="60" t="s">
        <v>34</v>
      </c>
      <c r="D10" s="123">
        <f>COUNTIFS(JOURNAL!F:F,"1",JOURNAL!G:G,"1-10",JOURNAL!O:O,"OT -")</f>
        <v>0</v>
      </c>
      <c r="E10" s="313"/>
      <c r="F10" s="60" t="s">
        <v>34</v>
      </c>
      <c r="G10" s="122">
        <f>COUNTIFS(JOURNAL!F:F,"1",JOURNAL!G:G,"11-20",JOURNAL!O:O,"OT -")</f>
        <v>0</v>
      </c>
      <c r="H10" s="313"/>
      <c r="I10" s="60" t="s">
        <v>34</v>
      </c>
      <c r="J10" s="122">
        <f>COUNTIFS(JOURNAL!F:F,"1",JOURNAL!G:G,"21-31",JOURNAL!O:O,"OT -")</f>
        <v>0</v>
      </c>
      <c r="L10" s="313"/>
      <c r="M10" s="60" t="s">
        <v>34</v>
      </c>
      <c r="N10" s="123">
        <f>COUNTIFS(JOURNAL!F:F,"2",JOURNAL!G:G,"1-10",JOURNAL!O:O,"OT -")</f>
        <v>0</v>
      </c>
      <c r="O10" s="313"/>
      <c r="P10" s="60" t="s">
        <v>34</v>
      </c>
      <c r="Q10" s="122">
        <f>COUNTIFS(JOURNAL!F:F,"2",JOURNAL!G:G,"11-20",JOURNAL!O:O,"OT -")</f>
        <v>0</v>
      </c>
      <c r="R10" s="313"/>
      <c r="S10" s="60" t="s">
        <v>34</v>
      </c>
      <c r="T10" s="122">
        <f>COUNTIFS(JOURNAL!F:F,"2",JOURNAL!G:G,"21-31",JOURNAL!O:O,"OT -")</f>
        <v>0</v>
      </c>
      <c r="V10" s="313"/>
      <c r="W10" s="60" t="s">
        <v>34</v>
      </c>
      <c r="X10" s="87">
        <f>COUNTIFS(JOURNAL!F:F,"3",JOURNAL!G:G,"1-10",JOURNAL!O:O,"OT -")</f>
        <v>0</v>
      </c>
      <c r="Y10" s="313"/>
      <c r="Z10" s="60" t="s">
        <v>34</v>
      </c>
      <c r="AA10" s="48">
        <f>COUNTIFS(JOURNAL!F:F,"3",JOURNAL!G:G,"11-20",JOURNAL!O:O,"OT -")</f>
        <v>0</v>
      </c>
      <c r="AB10" s="313"/>
      <c r="AC10" s="60" t="s">
        <v>34</v>
      </c>
      <c r="AD10" s="48">
        <f>COUNTIFS(JOURNAL!F:F,"3",JOURNAL!G:G,"21-31",JOURNAL!O:O,"OT -")</f>
        <v>0</v>
      </c>
      <c r="AF10" s="323"/>
      <c r="AG10" s="110" t="s">
        <v>75</v>
      </c>
      <c r="AH10" s="48">
        <f>COUNTIFS(JOURNAL!F:F,"8",JOURNAL!O:O,"TP")</f>
        <v>0</v>
      </c>
      <c r="AI10" s="48">
        <f>COUNTIFS(JOURNAL!F:F,"8",JOURNAL!O:O,"SL")</f>
        <v>0</v>
      </c>
      <c r="AJ10" s="48">
        <f>COUNTIFS(JOURNAL!F:F,"8",JOURNAL!O:O,"PS")</f>
        <v>0</v>
      </c>
      <c r="AK10" s="48">
        <f>COUNTIFS(JOURNAL!F:F,"8",JOURNAL!O:O,"LS")</f>
        <v>0</v>
      </c>
      <c r="AL10" s="48">
        <f>COUNTIFS(JOURNAL!F:F,"8",JOURNAL!O:O,"RF")</f>
        <v>0</v>
      </c>
      <c r="AM10" s="48">
        <f>COUNTIFS(JOURNAL!F:F,"8",JOURNAL!O:O,"OT +")</f>
        <v>0</v>
      </c>
      <c r="AN10" s="48">
        <f>COUNTIFS(JOURNAL!F:F,"8",JOURNAL!O:O,"OT -")</f>
        <v>0</v>
      </c>
      <c r="AO10" s="48">
        <f>COUNTIF(JOURNAL!F:F,"8")</f>
        <v>0</v>
      </c>
      <c r="AP10" s="185">
        <f>SUMIF(JOURNAL!F:F,"8",JOURNAL!Q:Q)</f>
        <v>0</v>
      </c>
      <c r="AQ10" s="77" t="e">
        <f t="shared" si="0"/>
        <v>#DIV/0!</v>
      </c>
      <c r="AS10" s="334">
        <f>SMALL(AP3:AP14,6)</f>
        <v>0</v>
      </c>
      <c r="AT10" s="335"/>
      <c r="AU10" s="334">
        <f>SMALL(AP18:AP29,6)</f>
        <v>0</v>
      </c>
      <c r="AV10" s="335"/>
      <c r="AX10" s="334" t="e">
        <f>SMALL(AQ3:AQ14,6)</f>
        <v>#DIV/0!</v>
      </c>
      <c r="AY10" s="335"/>
      <c r="AZ10" s="334" t="e">
        <f>SMALL(AQ18:AQ29,6)</f>
        <v>#DIV/0!</v>
      </c>
      <c r="BA10" s="335"/>
    </row>
    <row r="11" spans="2:58" ht="18.75" x14ac:dyDescent="0.25">
      <c r="B11" s="314" t="s">
        <v>43</v>
      </c>
      <c r="C11" s="317"/>
      <c r="D11" s="122">
        <f>SUM(D4:D10)</f>
        <v>0</v>
      </c>
      <c r="E11" s="314" t="s">
        <v>43</v>
      </c>
      <c r="F11" s="314"/>
      <c r="G11" s="122">
        <f>SUM(G4:G10)</f>
        <v>0</v>
      </c>
      <c r="H11" s="314" t="s">
        <v>43</v>
      </c>
      <c r="I11" s="314"/>
      <c r="J11" s="122">
        <f>SUM(J4:J10)</f>
        <v>0</v>
      </c>
      <c r="L11" s="314" t="s">
        <v>43</v>
      </c>
      <c r="M11" s="314"/>
      <c r="N11" s="122">
        <f>SUM(N4:N10)</f>
        <v>0</v>
      </c>
      <c r="O11" s="314" t="s">
        <v>43</v>
      </c>
      <c r="P11" s="314"/>
      <c r="Q11" s="122">
        <f>SUM(Q4:Q10)</f>
        <v>0</v>
      </c>
      <c r="R11" s="314" t="s">
        <v>43</v>
      </c>
      <c r="S11" s="314"/>
      <c r="T11" s="122">
        <f>SUM(T4:T10)</f>
        <v>0</v>
      </c>
      <c r="V11" s="314" t="s">
        <v>43</v>
      </c>
      <c r="W11" s="314"/>
      <c r="X11" s="122">
        <f>SUM(X4:X10)</f>
        <v>0</v>
      </c>
      <c r="Y11" s="314" t="s">
        <v>43</v>
      </c>
      <c r="Z11" s="314"/>
      <c r="AA11" s="122">
        <f>SUM(AA4:AA10)</f>
        <v>0</v>
      </c>
      <c r="AB11" s="314" t="s">
        <v>43</v>
      </c>
      <c r="AC11" s="314"/>
      <c r="AD11" s="122">
        <f>SUM(AD4:AD10)</f>
        <v>0</v>
      </c>
      <c r="AF11" s="323"/>
      <c r="AG11" s="110" t="s">
        <v>76</v>
      </c>
      <c r="AH11" s="75">
        <f>COUNTIFS(JOURNAL!F:F,"9",JOURNAL!O:O,"TP")</f>
        <v>0</v>
      </c>
      <c r="AI11" s="75">
        <f>COUNTIFS(JOURNAL!F:F,"9",JOURNAL!O:O,"SL")</f>
        <v>0</v>
      </c>
      <c r="AJ11" s="75">
        <f>COUNTIFS(JOURNAL!F:F,"9",JOURNAL!O:O,"PS")</f>
        <v>0</v>
      </c>
      <c r="AK11" s="75">
        <f>COUNTIFS(JOURNAL!F:F,"9",JOURNAL!O:O,"LS")</f>
        <v>0</v>
      </c>
      <c r="AL11" s="75">
        <f>COUNTIFS(JOURNAL!F:F,"9",JOURNAL!O:O,"RF")</f>
        <v>0</v>
      </c>
      <c r="AM11" s="75">
        <f>COUNTIFS(JOURNAL!F:F,"9",JOURNAL!O:O,"OT +")</f>
        <v>0</v>
      </c>
      <c r="AN11" s="75">
        <f>COUNTIFS(JOURNAL!F:F,"9",JOURNAL!O:O,"OT -")</f>
        <v>0</v>
      </c>
      <c r="AO11" s="75">
        <f>COUNTIF(JOURNAL!F:F,"9")</f>
        <v>0</v>
      </c>
      <c r="AP11" s="76">
        <f>SUMIF(JOURNAL!F:F,"9",JOURNAL!Q:Q)</f>
        <v>0</v>
      </c>
      <c r="AQ11" s="76" t="e">
        <f t="shared" si="0"/>
        <v>#DIV/0!</v>
      </c>
      <c r="AS11" s="332">
        <f>SMALL(AP3:AP14,5)</f>
        <v>0</v>
      </c>
      <c r="AT11" s="333"/>
      <c r="AU11" s="332">
        <f>SMALL(AP18:AP29,5)</f>
        <v>0</v>
      </c>
      <c r="AV11" s="333"/>
      <c r="AX11" s="332" t="e">
        <f>SMALL(AQ3:AQ14,5)</f>
        <v>#DIV/0!</v>
      </c>
      <c r="AY11" s="333"/>
      <c r="AZ11" s="332" t="e">
        <f>SMALL(AQ18:AQ29,5)</f>
        <v>#DIV/0!</v>
      </c>
      <c r="BA11" s="333"/>
    </row>
    <row r="12" spans="2:58" ht="18.75" x14ac:dyDescent="0.25">
      <c r="B12" s="315" t="s">
        <v>44</v>
      </c>
      <c r="C12" s="318"/>
      <c r="D12" s="192" t="e">
        <f>SUM(D4,D6,D7,D9)/D11</f>
        <v>#DIV/0!</v>
      </c>
      <c r="E12" s="315" t="s">
        <v>44</v>
      </c>
      <c r="F12" s="315"/>
      <c r="G12" s="192" t="e">
        <f>SUM(G4,G6,G7,G9)/G11</f>
        <v>#DIV/0!</v>
      </c>
      <c r="H12" s="315" t="s">
        <v>44</v>
      </c>
      <c r="I12" s="315"/>
      <c r="J12" s="192" t="e">
        <f>SUM(J4,J6,J7,J9)/J11</f>
        <v>#DIV/0!</v>
      </c>
      <c r="L12" s="315" t="s">
        <v>44</v>
      </c>
      <c r="M12" s="315"/>
      <c r="N12" s="192" t="e">
        <f>SUM(N4,N6,N7,N9)/N11</f>
        <v>#DIV/0!</v>
      </c>
      <c r="O12" s="315" t="s">
        <v>44</v>
      </c>
      <c r="P12" s="315"/>
      <c r="Q12" s="192" t="e">
        <f>SUM(Q4,Q6,Q7,Q9)/Q11</f>
        <v>#DIV/0!</v>
      </c>
      <c r="R12" s="315" t="s">
        <v>44</v>
      </c>
      <c r="S12" s="315"/>
      <c r="T12" s="192" t="e">
        <f>SUM(T4,T6,T7,T9)/T11</f>
        <v>#DIV/0!</v>
      </c>
      <c r="V12" s="315" t="s">
        <v>44</v>
      </c>
      <c r="W12" s="315"/>
      <c r="X12" s="192" t="e">
        <f>SUM(X4,X6,X7,X9)/X11</f>
        <v>#DIV/0!</v>
      </c>
      <c r="Y12" s="315" t="s">
        <v>44</v>
      </c>
      <c r="Z12" s="315"/>
      <c r="AA12" s="192" t="e">
        <f>SUM(AA4,AA6,AA7,AA9)/AA11</f>
        <v>#DIV/0!</v>
      </c>
      <c r="AB12" s="315" t="s">
        <v>44</v>
      </c>
      <c r="AC12" s="315"/>
      <c r="AD12" s="192" t="e">
        <f>SUM(AD4,AD6,AD7,AD9)/AD11</f>
        <v>#DIV/0!</v>
      </c>
      <c r="AF12" s="323"/>
      <c r="AG12" s="110" t="s">
        <v>77</v>
      </c>
      <c r="AH12" s="48">
        <f>COUNTIFS(JOURNAL!F:F,"10",JOURNAL!O:O,"TP")</f>
        <v>0</v>
      </c>
      <c r="AI12" s="48">
        <f>COUNTIFS(JOURNAL!F:F,"10",JOURNAL!O:O,"SL")</f>
        <v>0</v>
      </c>
      <c r="AJ12" s="48">
        <f>COUNTIFS(JOURNAL!F:F,"10",JOURNAL!O:O,"PS")</f>
        <v>0</v>
      </c>
      <c r="AK12" s="48">
        <f>COUNTIFS(JOURNAL!F:F,"10",JOURNAL!O:O,"LS")</f>
        <v>0</v>
      </c>
      <c r="AL12" s="48">
        <f>COUNTIFS(JOURNAL!F:F,"10",JOURNAL!O:O,"RF")</f>
        <v>0</v>
      </c>
      <c r="AM12" s="48">
        <f>COUNTIFS(JOURNAL!F:F,"10",JOURNAL!O:O,"OT +")</f>
        <v>0</v>
      </c>
      <c r="AN12" s="48">
        <f>COUNTIFS(JOURNAL!F:F,"10",JOURNAL!O:O,"OT -")</f>
        <v>0</v>
      </c>
      <c r="AO12" s="48">
        <f>COUNTIF(JOURNAL!F:F,"10")</f>
        <v>0</v>
      </c>
      <c r="AP12" s="185">
        <f>SUMIF(JOURNAL!F:F,"10",JOURNAL!Q:Q)</f>
        <v>0</v>
      </c>
      <c r="AQ12" s="77" t="e">
        <f t="shared" si="0"/>
        <v>#DIV/0!</v>
      </c>
      <c r="AS12" s="330">
        <f>SMALL(AP3:AP14,4)</f>
        <v>0</v>
      </c>
      <c r="AT12" s="331"/>
      <c r="AU12" s="330">
        <f>SMALL(AP18:AP29,4)</f>
        <v>0</v>
      </c>
      <c r="AV12" s="331"/>
      <c r="AX12" s="330" t="e">
        <f>SMALL(AQ3:AQ14,4)</f>
        <v>#DIV/0!</v>
      </c>
      <c r="AY12" s="331"/>
      <c r="AZ12" s="330" t="e">
        <f>SMALL(AQ18:AQ29,4)</f>
        <v>#DIV/0!</v>
      </c>
      <c r="BA12" s="331"/>
    </row>
    <row r="13" spans="2:58" ht="18.75" x14ac:dyDescent="0.25">
      <c r="AF13" s="323"/>
      <c r="AG13" s="110" t="s">
        <v>78</v>
      </c>
      <c r="AH13" s="75">
        <f>COUNTIFS(JOURNAL!F:F,"11",JOURNAL!O:O,"TP")</f>
        <v>0</v>
      </c>
      <c r="AI13" s="75">
        <f>COUNTIFS(JOURNAL!F:F,"11",JOURNAL!O:O,"SL")</f>
        <v>0</v>
      </c>
      <c r="AJ13" s="75">
        <f>COUNTIFS(JOURNAL!F:F,"11",JOURNAL!O:O,"PS")</f>
        <v>0</v>
      </c>
      <c r="AK13" s="75">
        <f>COUNTIFS(JOURNAL!F:F,"11",JOURNAL!O:O,"LS")</f>
        <v>0</v>
      </c>
      <c r="AL13" s="75">
        <f>COUNTIFS(JOURNAL!F:F,"11",JOURNAL!O:O,"RF")</f>
        <v>0</v>
      </c>
      <c r="AM13" s="75">
        <f>COUNTIFS(JOURNAL!F:F,"11",JOURNAL!O:O,"OT +")</f>
        <v>0</v>
      </c>
      <c r="AN13" s="75">
        <f>COUNTIFS(JOURNAL!F:F,"11",JOURNAL!O:O,"OT -")</f>
        <v>0</v>
      </c>
      <c r="AO13" s="75">
        <f>COUNTIF(JOURNAL!F:F,"11")</f>
        <v>0</v>
      </c>
      <c r="AP13" s="76">
        <f>SUMIF(JOURNAL!F:F,"11",JOURNAL!Q:Q)</f>
        <v>0</v>
      </c>
      <c r="AQ13" s="76" t="e">
        <f t="shared" si="0"/>
        <v>#DIV/0!</v>
      </c>
      <c r="AS13" s="346">
        <f>SMALL(AP3:AP14,3)</f>
        <v>0</v>
      </c>
      <c r="AT13" s="347"/>
      <c r="AU13" s="346">
        <f>SMALL(AP18:AP29,3)</f>
        <v>0</v>
      </c>
      <c r="AV13" s="347"/>
      <c r="AX13" s="346" t="e">
        <f>SMALL(AQ3:AQ14,3)</f>
        <v>#DIV/0!</v>
      </c>
      <c r="AY13" s="347"/>
      <c r="AZ13" s="346" t="e">
        <f>SMALL(AQ18:AQ29,3)</f>
        <v>#DIV/0!</v>
      </c>
      <c r="BA13" s="347"/>
    </row>
    <row r="14" spans="2:58" ht="18.75" customHeight="1" x14ac:dyDescent="0.25">
      <c r="B14" s="305" t="s">
        <v>71</v>
      </c>
      <c r="C14" s="306"/>
      <c r="D14" s="306"/>
      <c r="E14" s="306"/>
      <c r="F14" s="306"/>
      <c r="G14" s="306"/>
      <c r="H14" s="306"/>
      <c r="I14" s="306"/>
      <c r="J14" s="307"/>
      <c r="L14" s="316" t="s">
        <v>72</v>
      </c>
      <c r="M14" s="316"/>
      <c r="N14" s="316"/>
      <c r="O14" s="316"/>
      <c r="P14" s="316"/>
      <c r="Q14" s="316"/>
      <c r="R14" s="316"/>
      <c r="S14" s="316"/>
      <c r="T14" s="316"/>
      <c r="V14" s="316" t="s">
        <v>73</v>
      </c>
      <c r="W14" s="316"/>
      <c r="X14" s="316"/>
      <c r="Y14" s="316"/>
      <c r="Z14" s="316"/>
      <c r="AA14" s="316"/>
      <c r="AB14" s="316"/>
      <c r="AC14" s="316"/>
      <c r="AD14" s="316"/>
      <c r="AF14" s="323"/>
      <c r="AG14" s="110" t="s">
        <v>79</v>
      </c>
      <c r="AH14" s="48">
        <f>COUNTIFS(JOURNAL!F:F,"12",JOURNAL!O:O,"TP")</f>
        <v>0</v>
      </c>
      <c r="AI14" s="48">
        <f>COUNTIFS(JOURNAL!F:F,"12",JOURNAL!O:O,"SL")</f>
        <v>0</v>
      </c>
      <c r="AJ14" s="48">
        <f>COUNTIFS(JOURNAL!F:F,"12",JOURNAL!O:O,"PS")</f>
        <v>0</v>
      </c>
      <c r="AK14" s="48">
        <f>COUNTIFS(JOURNAL!F:F,"12",JOURNAL!O:O,"LS")</f>
        <v>0</v>
      </c>
      <c r="AL14" s="48">
        <f>COUNTIFS(JOURNAL!F:F,"12",JOURNAL!O:O,"RF")</f>
        <v>0</v>
      </c>
      <c r="AM14" s="48">
        <f>COUNTIFS(JOURNAL!F:F,"12",JOURNAL!O:O,"OT +")</f>
        <v>0</v>
      </c>
      <c r="AN14" s="48">
        <f>COUNTIFS(JOURNAL!F:F,"12",JOURNAL!O:O,"OT -")</f>
        <v>0</v>
      </c>
      <c r="AO14" s="48">
        <f>COUNTIF(JOURNAL!F:F,"12")</f>
        <v>0</v>
      </c>
      <c r="AP14" s="185">
        <f>SUMIF(JOURNAL!F:F,"12",JOURNAL!Q:Q)</f>
        <v>0</v>
      </c>
      <c r="AQ14" s="77" t="e">
        <f t="shared" si="0"/>
        <v>#DIV/0!</v>
      </c>
      <c r="AS14" s="344">
        <f>SMALL(AP3:AP14,2)</f>
        <v>0</v>
      </c>
      <c r="AT14" s="345"/>
      <c r="AU14" s="344">
        <f>SMALL(AP18:AP29,2)</f>
        <v>0</v>
      </c>
      <c r="AV14" s="345"/>
      <c r="AX14" s="344" t="e">
        <f>SMALL(AQ3:AQ14,2)</f>
        <v>#DIV/0!</v>
      </c>
      <c r="AY14" s="345"/>
      <c r="AZ14" s="344" t="e">
        <f>SMALL(AQ18:AQ29,2)</f>
        <v>#DIV/0!</v>
      </c>
      <c r="BA14" s="345"/>
    </row>
    <row r="15" spans="2:58" ht="20.25" customHeight="1" x14ac:dyDescent="0.25">
      <c r="B15" s="308"/>
      <c r="C15" s="309"/>
      <c r="D15" s="309"/>
      <c r="E15" s="309"/>
      <c r="F15" s="309"/>
      <c r="G15" s="309"/>
      <c r="H15" s="309"/>
      <c r="I15" s="309"/>
      <c r="J15" s="310"/>
      <c r="L15" s="316"/>
      <c r="M15" s="316"/>
      <c r="N15" s="316"/>
      <c r="O15" s="316"/>
      <c r="P15" s="316"/>
      <c r="Q15" s="316"/>
      <c r="R15" s="316"/>
      <c r="S15" s="316"/>
      <c r="T15" s="316"/>
      <c r="V15" s="316"/>
      <c r="W15" s="316"/>
      <c r="X15" s="316"/>
      <c r="Y15" s="316"/>
      <c r="Z15" s="316"/>
      <c r="AA15" s="316"/>
      <c r="AB15" s="316"/>
      <c r="AC15" s="316"/>
      <c r="AD15" s="316"/>
      <c r="AF15" s="323"/>
      <c r="AG15" s="110" t="s">
        <v>115</v>
      </c>
      <c r="AH15" s="75">
        <f t="shared" ref="AH15:AQ15" si="1">SUM(AH3:AH14)</f>
        <v>0</v>
      </c>
      <c r="AI15" s="75">
        <f t="shared" si="1"/>
        <v>0</v>
      </c>
      <c r="AJ15" s="75">
        <f t="shared" si="1"/>
        <v>0</v>
      </c>
      <c r="AK15" s="75">
        <f t="shared" si="1"/>
        <v>0</v>
      </c>
      <c r="AL15" s="75">
        <f t="shared" si="1"/>
        <v>0</v>
      </c>
      <c r="AM15" s="75">
        <f t="shared" si="1"/>
        <v>0</v>
      </c>
      <c r="AN15" s="75">
        <f t="shared" si="1"/>
        <v>0</v>
      </c>
      <c r="AO15" s="75">
        <f t="shared" si="1"/>
        <v>0</v>
      </c>
      <c r="AP15" s="76">
        <f t="shared" si="1"/>
        <v>0</v>
      </c>
      <c r="AQ15" s="76" t="e">
        <f t="shared" si="1"/>
        <v>#DIV/0!</v>
      </c>
      <c r="AS15" s="342">
        <f>SMALL(AP3:AP14,1)</f>
        <v>0</v>
      </c>
      <c r="AT15" s="343"/>
      <c r="AU15" s="342">
        <f>SMALL(AP18:AP29,1)</f>
        <v>0</v>
      </c>
      <c r="AV15" s="343"/>
      <c r="AX15" s="342" t="e">
        <f>SMALL(AQ3:AQ14,1)</f>
        <v>#DIV/0!</v>
      </c>
      <c r="AY15" s="343"/>
      <c r="AZ15" s="342" t="e">
        <f>SMALL(AQ18:AQ29,1)</f>
        <v>#DIV/0!</v>
      </c>
      <c r="BA15" s="343"/>
    </row>
    <row r="16" spans="2:58" ht="21.75" customHeight="1" x14ac:dyDescent="0.25">
      <c r="B16" s="311" t="s">
        <v>62</v>
      </c>
      <c r="C16" s="54" t="s">
        <v>27</v>
      </c>
      <c r="D16" s="48">
        <f>COUNTIFS(JOURNAL!F:F,"4",JOURNAL!G:G,"1-10",JOURNAL!O:O,"TP")</f>
        <v>0</v>
      </c>
      <c r="E16" s="311" t="s">
        <v>63</v>
      </c>
      <c r="F16" s="54" t="s">
        <v>27</v>
      </c>
      <c r="G16" s="48">
        <f>COUNTIFS(JOURNAL!F:F,"4",JOURNAL!G:G,"11-20",JOURNAL!O:O,"TP")</f>
        <v>0</v>
      </c>
      <c r="H16" s="311" t="s">
        <v>64</v>
      </c>
      <c r="I16" s="54" t="s">
        <v>27</v>
      </c>
      <c r="J16" s="48">
        <f>COUNTIFS(JOURNAL!F:F,"4",JOURNAL!G:G,"21-31",JOURNAL!O:O,"TP")</f>
        <v>0</v>
      </c>
      <c r="L16" s="311" t="s">
        <v>62</v>
      </c>
      <c r="M16" s="54" t="s">
        <v>27</v>
      </c>
      <c r="N16" s="48">
        <f>COUNTIFS(JOURNAL!F:F,"5",JOURNAL!G:G,"1-10",JOURNAL!O:O,"TP")</f>
        <v>0</v>
      </c>
      <c r="O16" s="311" t="s">
        <v>63</v>
      </c>
      <c r="P16" s="54" t="s">
        <v>27</v>
      </c>
      <c r="Q16" s="48">
        <f>COUNTIFS(JOURNAL!F:F,"5",JOURNAL!G:G,"11-20",JOURNAL!O:O,"TP")</f>
        <v>0</v>
      </c>
      <c r="R16" s="311" t="s">
        <v>64</v>
      </c>
      <c r="S16" s="54" t="s">
        <v>27</v>
      </c>
      <c r="T16" s="48">
        <f>COUNTIFS(JOURNAL!F:F,"5",JOURNAL!G:G,"21-31",JOURNAL!O:O,"TP")</f>
        <v>0</v>
      </c>
      <c r="V16" s="311" t="s">
        <v>62</v>
      </c>
      <c r="W16" s="54" t="s">
        <v>27</v>
      </c>
      <c r="X16" s="48">
        <f>COUNTIFS(JOURNAL!F:F,"6",JOURNAL!G:G,"1-10",JOURNAL!O:O,"TP")</f>
        <v>0</v>
      </c>
      <c r="Y16" s="311" t="s">
        <v>63</v>
      </c>
      <c r="Z16" s="54" t="s">
        <v>27</v>
      </c>
      <c r="AA16" s="48">
        <f>COUNTIFS(JOURNAL!F:F,"6",JOURNAL!G:G,"11-20",JOURNAL!O:O,"TP")</f>
        <v>0</v>
      </c>
      <c r="AB16" s="311" t="s">
        <v>64</v>
      </c>
      <c r="AC16" s="54" t="s">
        <v>27</v>
      </c>
      <c r="AD16" s="48">
        <f>COUNTIFS(JOURNAL!F:F,"6",JOURNAL!G:G,"21-31",JOURNAL!O:O,"TP")</f>
        <v>0</v>
      </c>
    </row>
    <row r="17" spans="2:50" ht="27" customHeight="1" x14ac:dyDescent="0.25">
      <c r="B17" s="312"/>
      <c r="C17" s="55" t="s">
        <v>29</v>
      </c>
      <c r="D17" s="48">
        <f>COUNTIFS(JOURNAL!F:F,"4",JOURNAL!G:G,"1-10",JOURNAL!O:O,"SL")</f>
        <v>0</v>
      </c>
      <c r="E17" s="312"/>
      <c r="F17" s="55" t="s">
        <v>29</v>
      </c>
      <c r="G17" s="48">
        <f>COUNTIFS(JOURNAL!F:F,"4",JOURNAL!G:G,"11-20",JOURNAL!O:O,"SL")</f>
        <v>0</v>
      </c>
      <c r="H17" s="312"/>
      <c r="I17" s="55" t="s">
        <v>29</v>
      </c>
      <c r="J17" s="48">
        <f>COUNTIFS(JOURNAL!F:F,"4",JOURNAL!G:G,"21-31",JOURNAL!O:O,"SL")</f>
        <v>0</v>
      </c>
      <c r="L17" s="312"/>
      <c r="M17" s="55" t="s">
        <v>29</v>
      </c>
      <c r="N17" s="48">
        <f>COUNTIFS(JOURNAL!F:F,"5",JOURNAL!G:G,"1-10",JOURNAL!O:O,"SL")</f>
        <v>0</v>
      </c>
      <c r="O17" s="312"/>
      <c r="P17" s="55" t="s">
        <v>29</v>
      </c>
      <c r="Q17" s="48">
        <f>COUNTIFS(JOURNAL!F:F,"5",JOURNAL!G:G,"11-20",JOURNAL!O:O,"SL")</f>
        <v>0</v>
      </c>
      <c r="R17" s="312"/>
      <c r="S17" s="55" t="s">
        <v>29</v>
      </c>
      <c r="T17" s="48">
        <f>COUNTIFS(JOURNAL!F:F,"5",JOURNAL!G:G,"21-31",JOURNAL!O:O,"SL")</f>
        <v>0</v>
      </c>
      <c r="V17" s="312"/>
      <c r="W17" s="55" t="s">
        <v>29</v>
      </c>
      <c r="X17" s="48">
        <f>COUNTIFS(JOURNAL!F:F,"6",JOURNAL!G:G,"1-10",JOURNAL!O:O,"SL")</f>
        <v>0</v>
      </c>
      <c r="Y17" s="312"/>
      <c r="Z17" s="55" t="s">
        <v>29</v>
      </c>
      <c r="AA17" s="48">
        <f>COUNTIFS(JOURNAL!F:F,"6",JOURNAL!G:G,"11-20",JOURNAL!O:O,"SL")</f>
        <v>0</v>
      </c>
      <c r="AB17" s="312"/>
      <c r="AC17" s="55" t="s">
        <v>29</v>
      </c>
      <c r="AD17" s="48">
        <f>COUNTIFS(JOURNAL!F:F,"6",JOURNAL!G:G,"21-31",JOURNAL!O:O,"SL")</f>
        <v>0</v>
      </c>
      <c r="AF17" s="323" t="s">
        <v>180</v>
      </c>
      <c r="AG17" s="108" t="s">
        <v>80</v>
      </c>
      <c r="AH17" s="108" t="s">
        <v>27</v>
      </c>
      <c r="AI17" s="108" t="s">
        <v>29</v>
      </c>
      <c r="AJ17" s="108" t="s">
        <v>30</v>
      </c>
      <c r="AK17" s="108" t="s">
        <v>31</v>
      </c>
      <c r="AL17" s="108" t="s">
        <v>32</v>
      </c>
      <c r="AM17" s="108" t="s">
        <v>33</v>
      </c>
      <c r="AN17" s="108" t="s">
        <v>34</v>
      </c>
      <c r="AO17" s="108" t="s">
        <v>43</v>
      </c>
      <c r="AP17" s="108" t="s">
        <v>48</v>
      </c>
      <c r="AQ17" s="108" t="s">
        <v>44</v>
      </c>
      <c r="AS17" s="350" t="s">
        <v>177</v>
      </c>
      <c r="AT17" s="350"/>
      <c r="AU17" s="350"/>
      <c r="AV17" s="350" t="s">
        <v>179</v>
      </c>
      <c r="AW17" s="350"/>
      <c r="AX17" s="350"/>
    </row>
    <row r="18" spans="2:50" ht="17.25" customHeight="1" x14ac:dyDescent="0.25">
      <c r="B18" s="312"/>
      <c r="C18" s="56" t="s">
        <v>32</v>
      </c>
      <c r="D18" s="48">
        <f>COUNTIFS(JOURNAL!F:F,"4",JOURNAL!G:G,"1-10",JOURNAL!O:O,"RF")</f>
        <v>0</v>
      </c>
      <c r="E18" s="312"/>
      <c r="F18" s="56" t="s">
        <v>32</v>
      </c>
      <c r="G18" s="48">
        <f>COUNTIFS(JOURNAL!F:F,"4",JOURNAL!G:G,"11-20",JOURNAL!O:O,"RF")</f>
        <v>0</v>
      </c>
      <c r="H18" s="312"/>
      <c r="I18" s="56" t="s">
        <v>32</v>
      </c>
      <c r="J18" s="48">
        <f>COUNTIFS(JOURNAL!F:F,"4",JOURNAL!G:G,"21-31",JOURNAL!O:O,"RF")</f>
        <v>0</v>
      </c>
      <c r="L18" s="312"/>
      <c r="M18" s="56" t="s">
        <v>32</v>
      </c>
      <c r="N18" s="48">
        <f>COUNTIFS(JOURNAL!F:F,"5",JOURNAL!G:G,"1-10",JOURNAL!O:O,"RF")</f>
        <v>0</v>
      </c>
      <c r="O18" s="312"/>
      <c r="P18" s="56" t="s">
        <v>32</v>
      </c>
      <c r="Q18" s="48">
        <f>COUNTIFS(JOURNAL!F:F,"5",JOURNAL!G:G,"11-20",JOURNAL!O:O,"RF")</f>
        <v>0</v>
      </c>
      <c r="R18" s="312"/>
      <c r="S18" s="56" t="s">
        <v>32</v>
      </c>
      <c r="T18" s="48">
        <f>COUNTIFS(JOURNAL!F:F,"5",JOURNAL!G:G,"21-31",JOURNAL!O:O,"RF")</f>
        <v>0</v>
      </c>
      <c r="V18" s="312"/>
      <c r="W18" s="56" t="s">
        <v>32</v>
      </c>
      <c r="X18" s="48">
        <f>COUNTIFS(JOURNAL!F:F,"6",JOURNAL!G:G,"1-10",JOURNAL!O:O,"RF")</f>
        <v>0</v>
      </c>
      <c r="Y18" s="312"/>
      <c r="Z18" s="56" t="s">
        <v>32</v>
      </c>
      <c r="AA18" s="48">
        <f>COUNTIFS(JOURNAL!F:F,"6",JOURNAL!G:G,"11-20",JOURNAL!O:O,"RF")</f>
        <v>0</v>
      </c>
      <c r="AB18" s="312"/>
      <c r="AC18" s="56" t="s">
        <v>32</v>
      </c>
      <c r="AD18" s="48">
        <f>COUNTIFS(JOURNAL!F:F,"6",JOURNAL!G:G,"21-31",JOURNAL!O:O,"RF")</f>
        <v>0</v>
      </c>
      <c r="AF18" s="323"/>
      <c r="AG18" s="110" t="s">
        <v>68</v>
      </c>
      <c r="AH18" s="75">
        <f>COUNTIFS('Doubting Setups'!F:F,"1",'Doubting Setups'!K:K,"TP")</f>
        <v>0</v>
      </c>
      <c r="AI18" s="75">
        <f>COUNTIFS('Doubting Setups'!F:F,"1",'Doubting Setups'!K:K,"SL")</f>
        <v>0</v>
      </c>
      <c r="AJ18" s="75">
        <f>COUNTIFS('Doubting Setups'!F:F,"1",'Doubting Setups'!K:K,"PS")</f>
        <v>0</v>
      </c>
      <c r="AK18" s="75">
        <f>COUNTIFS('Doubting Setups'!F:F,"1",'Doubting Setups'!K:K,"LS")</f>
        <v>0</v>
      </c>
      <c r="AL18" s="75">
        <f>COUNTIFS('Doubting Setups'!F:F,"1",'Doubting Setups'!K:K,"RF")</f>
        <v>0</v>
      </c>
      <c r="AM18" s="75">
        <f>COUNTIFS('Doubting Setups'!F:F,"1",'Doubting Setups'!K:K,"OT +")</f>
        <v>0</v>
      </c>
      <c r="AN18" s="75">
        <f>COUNTIFS('Doubting Setups'!F:F,"1",'Doubting Setups'!K:K,"OT -")</f>
        <v>0</v>
      </c>
      <c r="AO18" s="75">
        <f>COUNTIF(JOURNAL!F:F,"1")</f>
        <v>0</v>
      </c>
      <c r="AP18" s="76">
        <f>SUMIF(JOURNAL!F:F,"1",JOURNAL!Q:Q)</f>
        <v>0</v>
      </c>
      <c r="AQ18" s="76" t="e">
        <f t="shared" ref="AQ18:AQ29" si="2">SUM(AH18,AJ18,AL18,AM18)/AO18</f>
        <v>#DIV/0!</v>
      </c>
      <c r="AS18" s="194" t="s">
        <v>173</v>
      </c>
      <c r="AT18" s="186" t="s">
        <v>175</v>
      </c>
      <c r="AU18" s="186" t="s">
        <v>174</v>
      </c>
      <c r="AV18" s="194" t="s">
        <v>173</v>
      </c>
      <c r="AW18" s="186" t="s">
        <v>175</v>
      </c>
      <c r="AX18" s="186" t="s">
        <v>174</v>
      </c>
    </row>
    <row r="19" spans="2:50" ht="18" customHeight="1" x14ac:dyDescent="0.25">
      <c r="B19" s="312"/>
      <c r="C19" s="57" t="s">
        <v>30</v>
      </c>
      <c r="D19" s="48">
        <f>COUNTIFS(JOURNAL!F:F,"4",JOURNAL!G:G,"1-10",JOURNAL!O:O,"PS")</f>
        <v>0</v>
      </c>
      <c r="E19" s="312"/>
      <c r="F19" s="57" t="s">
        <v>30</v>
      </c>
      <c r="G19" s="48">
        <f>COUNTIFS(JOURNAL!F:F,"4",JOURNAL!G:G,"11-20",JOURNAL!O:O,"PS")</f>
        <v>0</v>
      </c>
      <c r="H19" s="312"/>
      <c r="I19" s="57" t="s">
        <v>30</v>
      </c>
      <c r="J19" s="48">
        <f>COUNTIFS(JOURNAL!F:F,"4",JOURNAL!G:G,"21-31",JOURNAL!O:O,"PS")</f>
        <v>0</v>
      </c>
      <c r="L19" s="312"/>
      <c r="M19" s="57" t="s">
        <v>30</v>
      </c>
      <c r="N19" s="48">
        <f>COUNTIFS(JOURNAL!F:F,"5",JOURNAL!G:G,"1-10",JOURNAL!O:O,"PS")</f>
        <v>0</v>
      </c>
      <c r="O19" s="312"/>
      <c r="P19" s="57" t="s">
        <v>30</v>
      </c>
      <c r="Q19" s="48">
        <f>COUNTIFS(JOURNAL!F:F,"5",JOURNAL!G:G,"11-20",JOURNAL!O:O,"PS")</f>
        <v>0</v>
      </c>
      <c r="R19" s="312"/>
      <c r="S19" s="57" t="s">
        <v>30</v>
      </c>
      <c r="T19" s="48">
        <f>COUNTIFS(JOURNAL!F:F,"5",JOURNAL!G:G,"21-31",JOURNAL!O:O,"PS")</f>
        <v>0</v>
      </c>
      <c r="V19" s="312"/>
      <c r="W19" s="57" t="s">
        <v>30</v>
      </c>
      <c r="X19" s="48">
        <f>COUNTIFS(JOURNAL!F:F,"6",JOURNAL!G:G,"1-10",JOURNAL!O:O,"PS")</f>
        <v>0</v>
      </c>
      <c r="Y19" s="312"/>
      <c r="Z19" s="57" t="s">
        <v>30</v>
      </c>
      <c r="AA19" s="48">
        <f>COUNTIFS(JOURNAL!F:F,"6",JOURNAL!G:G,"11-20",JOURNAL!O:O,"PS")</f>
        <v>0</v>
      </c>
      <c r="AB19" s="312"/>
      <c r="AC19" s="57" t="s">
        <v>30</v>
      </c>
      <c r="AD19" s="48">
        <f>COUNTIFS(JOURNAL!F:F,"6",JOURNAL!G:G,"21-31",JOURNAL!O:O,"PS")</f>
        <v>0</v>
      </c>
      <c r="AF19" s="323"/>
      <c r="AG19" s="110" t="s">
        <v>69</v>
      </c>
      <c r="AH19" s="48">
        <f>COUNTIFS('Doubting Setups'!F:F,"2",'Doubting Setups'!K:K,"TP")</f>
        <v>0</v>
      </c>
      <c r="AI19" s="48">
        <f>COUNTIFS('Doubting Setups'!F:F,"2",'Doubting Setups'!K:K,"SL")</f>
        <v>0</v>
      </c>
      <c r="AJ19" s="48">
        <f>COUNTIFS('Doubting Setups'!F:F,"2",'Doubting Setups'!K:K,"PS")</f>
        <v>0</v>
      </c>
      <c r="AK19" s="48">
        <f>COUNTIFS('Doubting Setups'!F:F,"2",'Doubting Setups'!K:K,"LS")</f>
        <v>0</v>
      </c>
      <c r="AL19" s="48">
        <f>COUNTIFS('Doubting Setups'!F:F,"2",'Doubting Setups'!K:K,"RF")</f>
        <v>0</v>
      </c>
      <c r="AM19" s="48">
        <f>COUNTIFS('Doubting Setups'!F:F,"2",'Doubting Setups'!K:K,"OT +")</f>
        <v>0</v>
      </c>
      <c r="AN19" s="48">
        <f>COUNTIFS('Doubting Setups'!F:F,"2",'Doubting Setups'!K:K,"OT -")</f>
        <v>0</v>
      </c>
      <c r="AO19" s="48">
        <f>COUNTIF(JOURNAL!F:F,"1")</f>
        <v>0</v>
      </c>
      <c r="AP19" s="185">
        <f>SUMIF(JOURNAL!F:F,"1",JOURNAL!Q:Q)</f>
        <v>0</v>
      </c>
      <c r="AQ19" s="77" t="e">
        <f t="shared" si="2"/>
        <v>#DIV/0!</v>
      </c>
      <c r="AS19" s="195" t="s">
        <v>27</v>
      </c>
      <c r="AT19" s="48">
        <f>AH15</f>
        <v>0</v>
      </c>
      <c r="AU19" s="196">
        <f>SUMIF(JOURNAL!O:O,"TP",JOURNAL!Q:Q)</f>
        <v>0</v>
      </c>
      <c r="AV19" s="195" t="s">
        <v>27</v>
      </c>
      <c r="AW19" s="48">
        <f>AH30</f>
        <v>0</v>
      </c>
      <c r="AX19" s="193">
        <f>SUMIF('Doubting Setups'!K:K,"TP",'Doubting Setups'!M:M)</f>
        <v>0</v>
      </c>
    </row>
    <row r="20" spans="2:50" ht="17.25" customHeight="1" x14ac:dyDescent="0.25">
      <c r="B20" s="312"/>
      <c r="C20" s="58" t="s">
        <v>31</v>
      </c>
      <c r="D20" s="48">
        <f>COUNTIFS(JOURNAL!F:F,"4",JOURNAL!G:G,"1-10",JOURNAL!O:O,"LS")</f>
        <v>0</v>
      </c>
      <c r="E20" s="312"/>
      <c r="F20" s="58" t="s">
        <v>31</v>
      </c>
      <c r="G20" s="48">
        <f>COUNTIFS(JOURNAL!F:F,"4",JOURNAL!G:G,"11-20",JOURNAL!O:O,"LS")</f>
        <v>0</v>
      </c>
      <c r="H20" s="312"/>
      <c r="I20" s="58" t="s">
        <v>31</v>
      </c>
      <c r="J20" s="48">
        <f>COUNTIFS(JOURNAL!F:F,"4",JOURNAL!G:G,"21-31",JOURNAL!O:O,"LS")</f>
        <v>0</v>
      </c>
      <c r="L20" s="312"/>
      <c r="M20" s="58" t="s">
        <v>31</v>
      </c>
      <c r="N20" s="48">
        <f>COUNTIFS(JOURNAL!F:F,"5",JOURNAL!G:G,"1-10",JOURNAL!O:O,"LS")</f>
        <v>0</v>
      </c>
      <c r="O20" s="312"/>
      <c r="P20" s="58" t="s">
        <v>31</v>
      </c>
      <c r="Q20" s="48">
        <f>COUNTIFS(JOURNAL!F:F,"5",JOURNAL!G:G,"11-20",JOURNAL!O:O,"LS")</f>
        <v>0</v>
      </c>
      <c r="R20" s="312"/>
      <c r="S20" s="58" t="s">
        <v>31</v>
      </c>
      <c r="T20" s="48">
        <f>COUNTIFS(JOURNAL!F:F,"5",JOURNAL!G:G,"21-31",JOURNAL!O:O,"LS")</f>
        <v>0</v>
      </c>
      <c r="V20" s="312"/>
      <c r="W20" s="58" t="s">
        <v>31</v>
      </c>
      <c r="X20" s="48">
        <f>COUNTIFS(JOURNAL!F:F,"6",JOURNAL!G:G,"1-10",JOURNAL!O:O,"LS")</f>
        <v>0</v>
      </c>
      <c r="Y20" s="312"/>
      <c r="Z20" s="58" t="s">
        <v>31</v>
      </c>
      <c r="AA20" s="48">
        <f>COUNTIFS(JOURNAL!F:F,"6",JOURNAL!G:G,"11-20",JOURNAL!O:O,"LS")</f>
        <v>0</v>
      </c>
      <c r="AB20" s="312"/>
      <c r="AC20" s="58" t="s">
        <v>31</v>
      </c>
      <c r="AD20" s="48">
        <f>COUNTIFS(JOURNAL!F:F,"6",JOURNAL!G:G,"21-31",JOURNAL!O:O,"LS")</f>
        <v>0</v>
      </c>
      <c r="AF20" s="323"/>
      <c r="AG20" s="110" t="s">
        <v>70</v>
      </c>
      <c r="AH20" s="75">
        <f>COUNTIFS('Doubting Setups'!F:F,"3",'Doubting Setups'!K:K,"TP")</f>
        <v>0</v>
      </c>
      <c r="AI20" s="75">
        <f>COUNTIFS('Doubting Setups'!F:F,"3",'Doubting Setups'!K:K,"SL")</f>
        <v>0</v>
      </c>
      <c r="AJ20" s="75">
        <f>COUNTIFS('Doubting Setups'!F:F,"3",'Doubting Setups'!K:K,"PS")</f>
        <v>0</v>
      </c>
      <c r="AK20" s="75">
        <f>COUNTIFS('Doubting Setups'!F:F,"3",'Doubting Setups'!K:K,"LS")</f>
        <v>0</v>
      </c>
      <c r="AL20" s="75">
        <f>COUNTIFS('Doubting Setups'!F:F,"3",'Doubting Setups'!K:K,"RF")</f>
        <v>0</v>
      </c>
      <c r="AM20" s="75">
        <f>COUNTIFS('Doubting Setups'!F:F,"3",'Doubting Setups'!K:K,"OT +")</f>
        <v>0</v>
      </c>
      <c r="AN20" s="75">
        <f>COUNTIFS('Doubting Setups'!F:F,"3",'Doubting Setups'!K:K,"OT -")</f>
        <v>0</v>
      </c>
      <c r="AO20" s="75">
        <f>COUNTIF(JOURNAL!F:F,"1")</f>
        <v>0</v>
      </c>
      <c r="AP20" s="76">
        <f>SUMIF(JOURNAL!F:F,"1",JOURNAL!Q:Q)</f>
        <v>0</v>
      </c>
      <c r="AQ20" s="76" t="e">
        <f t="shared" si="2"/>
        <v>#DIV/0!</v>
      </c>
      <c r="AS20" s="195" t="s">
        <v>29</v>
      </c>
      <c r="AT20" s="48">
        <f>AI15</f>
        <v>0</v>
      </c>
      <c r="AU20" s="196">
        <f>SUMIF(JOURNAL!O:O,"SL",JOURNAL!Q:Q)</f>
        <v>0</v>
      </c>
      <c r="AV20" s="195" t="s">
        <v>29</v>
      </c>
      <c r="AW20" s="48">
        <f>AI30</f>
        <v>0</v>
      </c>
      <c r="AX20" s="193">
        <f>SUMIF('Doubting Setups'!K:K,"TP",'Doubting Setups'!M:M)</f>
        <v>0</v>
      </c>
    </row>
    <row r="21" spans="2:50" ht="17.25" customHeight="1" x14ac:dyDescent="0.25">
      <c r="B21" s="312"/>
      <c r="C21" s="59" t="s">
        <v>33</v>
      </c>
      <c r="D21" s="48">
        <f>COUNTIFS(JOURNAL!F:F,"4",JOURNAL!G:G,"1-10",JOURNAL!O:O,"OT +")</f>
        <v>0</v>
      </c>
      <c r="E21" s="312"/>
      <c r="F21" s="59" t="s">
        <v>33</v>
      </c>
      <c r="G21" s="48">
        <f>COUNTIFS(JOURNAL!F:F,"4",JOURNAL!G:G,"11-20",JOURNAL!O:O,"OT +")</f>
        <v>0</v>
      </c>
      <c r="H21" s="312"/>
      <c r="I21" s="59" t="s">
        <v>33</v>
      </c>
      <c r="J21" s="48">
        <f>COUNTIFS(JOURNAL!F:F,"4",JOURNAL!G:G,"21-31",JOURNAL!O:O,"OT +")</f>
        <v>0</v>
      </c>
      <c r="L21" s="312"/>
      <c r="M21" s="59" t="s">
        <v>33</v>
      </c>
      <c r="N21" s="48">
        <f>COUNTIFS(JOURNAL!F:F,"5",JOURNAL!G:G,"1-10",JOURNAL!O:O,"OT +")</f>
        <v>0</v>
      </c>
      <c r="O21" s="312"/>
      <c r="P21" s="59" t="s">
        <v>33</v>
      </c>
      <c r="Q21" s="48">
        <f>COUNTIFS(JOURNAL!F:F,"5",JOURNAL!G:G,"11-20",JOURNAL!O:O,"OT +")</f>
        <v>0</v>
      </c>
      <c r="R21" s="312"/>
      <c r="S21" s="59" t="s">
        <v>33</v>
      </c>
      <c r="T21" s="48">
        <f>COUNTIFS(JOURNAL!F:F,"5",JOURNAL!G:G,"21-31",JOURNAL!O:O,"OT +")</f>
        <v>0</v>
      </c>
      <c r="V21" s="312"/>
      <c r="W21" s="59" t="s">
        <v>33</v>
      </c>
      <c r="X21" s="48">
        <f>COUNTIFS(JOURNAL!F:F,"6",JOURNAL!G:G,"1-10",JOURNAL!O:O,"OT +")</f>
        <v>0</v>
      </c>
      <c r="Y21" s="312"/>
      <c r="Z21" s="59" t="s">
        <v>33</v>
      </c>
      <c r="AA21" s="48">
        <f>COUNTIFS(JOURNAL!F:F,"6",JOURNAL!G:G,"11-20",JOURNAL!O:O,"OT +")</f>
        <v>0</v>
      </c>
      <c r="AB21" s="312"/>
      <c r="AC21" s="59" t="s">
        <v>33</v>
      </c>
      <c r="AD21" s="48">
        <f>COUNTIFS(JOURNAL!F:F,"6",JOURNAL!G:G,"21-31",JOURNAL!O:O,"OT +")</f>
        <v>0</v>
      </c>
      <c r="AF21" s="323"/>
      <c r="AG21" s="110" t="s">
        <v>71</v>
      </c>
      <c r="AH21" s="48">
        <f>COUNTIFS('Doubting Setups'!F:F,"4",'Doubting Setups'!K:K,"TP")</f>
        <v>0</v>
      </c>
      <c r="AI21" s="48">
        <f>COUNTIFS('Doubting Setups'!F:F,"4",'Doubting Setups'!K:K,"SL")</f>
        <v>0</v>
      </c>
      <c r="AJ21" s="48">
        <f>COUNTIFS('Doubting Setups'!F:F,"4",'Doubting Setups'!K:K,"PS")</f>
        <v>0</v>
      </c>
      <c r="AK21" s="48">
        <f>COUNTIFS('Doubting Setups'!F:F,"4",'Doubting Setups'!K:K,"LS")</f>
        <v>0</v>
      </c>
      <c r="AL21" s="48">
        <f>COUNTIFS('Doubting Setups'!F:F,"4",'Doubting Setups'!K:K,"RF")</f>
        <v>0</v>
      </c>
      <c r="AM21" s="48">
        <f>COUNTIFS('Doubting Setups'!F:F,"4",'Doubting Setups'!K:K,"OT +")</f>
        <v>0</v>
      </c>
      <c r="AN21" s="48">
        <f>COUNTIFS('Doubting Setups'!F:F,"4",'Doubting Setups'!K:K,"OT -")</f>
        <v>0</v>
      </c>
      <c r="AO21" s="48">
        <f>COUNTIF(JOURNAL!F:F,"1")</f>
        <v>0</v>
      </c>
      <c r="AP21" s="185">
        <f>SUMIF(JOURNAL!F:F,"1",JOURNAL!Q:Q)</f>
        <v>0</v>
      </c>
      <c r="AQ21" s="77" t="e">
        <f t="shared" si="2"/>
        <v>#DIV/0!</v>
      </c>
      <c r="AS21" s="195" t="s">
        <v>30</v>
      </c>
      <c r="AT21" s="48">
        <f>AJ15</f>
        <v>0</v>
      </c>
      <c r="AU21" s="196">
        <f>SUMIF(JOURNAL!O:O,"PS",JOURNAL!Q:Q)</f>
        <v>0</v>
      </c>
      <c r="AV21" s="195" t="s">
        <v>30</v>
      </c>
      <c r="AW21" s="48">
        <f>AJ30</f>
        <v>0</v>
      </c>
      <c r="AX21" s="193">
        <f>SUMIF('Doubting Setups'!K:K,"TP",'Doubting Setups'!M:M)</f>
        <v>0</v>
      </c>
    </row>
    <row r="22" spans="2:50" ht="18" customHeight="1" x14ac:dyDescent="0.25">
      <c r="B22" s="313"/>
      <c r="C22" s="60" t="s">
        <v>34</v>
      </c>
      <c r="D22" s="87">
        <f>COUNTIFS(JOURNAL!F:F,"4",JOURNAL!G:G,"1-10",JOURNAL!O:O,"OT -")</f>
        <v>0</v>
      </c>
      <c r="E22" s="313"/>
      <c r="F22" s="60" t="s">
        <v>34</v>
      </c>
      <c r="G22" s="48">
        <f>COUNTIFS(JOURNAL!F:F,"4",JOURNAL!G:G,"11-20",JOURNAL!O:O,"OT -")</f>
        <v>0</v>
      </c>
      <c r="H22" s="313"/>
      <c r="I22" s="60" t="s">
        <v>34</v>
      </c>
      <c r="J22" s="48">
        <f>COUNTIFS(JOURNAL!F:F,"4",JOURNAL!G:G,"21-31",JOURNAL!O:O,"OT -")</f>
        <v>0</v>
      </c>
      <c r="L22" s="313"/>
      <c r="M22" s="60" t="s">
        <v>34</v>
      </c>
      <c r="N22" s="87">
        <f>COUNTIFS(JOURNAL!F:F,"5",JOURNAL!G:G,"1-10",JOURNAL!O:O,"OT -")</f>
        <v>0</v>
      </c>
      <c r="O22" s="313"/>
      <c r="P22" s="60" t="s">
        <v>34</v>
      </c>
      <c r="Q22" s="48">
        <f>COUNTIFS(JOURNAL!F:F,"5",JOURNAL!G:G,"11-20",JOURNAL!O:O,"OT -")</f>
        <v>0</v>
      </c>
      <c r="R22" s="313"/>
      <c r="S22" s="60" t="s">
        <v>34</v>
      </c>
      <c r="T22" s="48">
        <f>COUNTIFS(JOURNAL!F:F,"5",JOURNAL!G:G,"21-31",JOURNAL!O:O,"OT -")</f>
        <v>0</v>
      </c>
      <c r="V22" s="313"/>
      <c r="W22" s="60" t="s">
        <v>34</v>
      </c>
      <c r="X22" s="87">
        <f>COUNTIFS(JOURNAL!F:F,"6",JOURNAL!G:G,"1-10",JOURNAL!O:O,"OT -")</f>
        <v>0</v>
      </c>
      <c r="Y22" s="313"/>
      <c r="Z22" s="60" t="s">
        <v>34</v>
      </c>
      <c r="AA22" s="48">
        <f>COUNTIFS(JOURNAL!F:F,"6",JOURNAL!G:G,"11-20",JOURNAL!O:O,"OT -")</f>
        <v>0</v>
      </c>
      <c r="AB22" s="313"/>
      <c r="AC22" s="60" t="s">
        <v>34</v>
      </c>
      <c r="AD22" s="48">
        <f>COUNTIFS(JOURNAL!F:F,"6",JOURNAL!G:G,"21-31",JOURNAL!O:O,"OT -")</f>
        <v>0</v>
      </c>
      <c r="AF22" s="323"/>
      <c r="AG22" s="110" t="s">
        <v>72</v>
      </c>
      <c r="AH22" s="75">
        <f>COUNTIFS('Doubting Setups'!F:F,"5",'Doubting Setups'!K:K,"TP")</f>
        <v>0</v>
      </c>
      <c r="AI22" s="75">
        <f>COUNTIFS('Doubting Setups'!F:F,"5",'Doubting Setups'!K:K,"SL")</f>
        <v>0</v>
      </c>
      <c r="AJ22" s="75">
        <f>COUNTIFS('Doubting Setups'!F:F,"5",'Doubting Setups'!K:K,"PS")</f>
        <v>0</v>
      </c>
      <c r="AK22" s="75">
        <f>COUNTIFS('Doubting Setups'!F:F,"5",'Doubting Setups'!K:K,"LS")</f>
        <v>0</v>
      </c>
      <c r="AL22" s="75">
        <f>COUNTIFS('Doubting Setups'!F:F,"5",'Doubting Setups'!K:K,"RF")</f>
        <v>0</v>
      </c>
      <c r="AM22" s="75">
        <f>COUNTIFS('Doubting Setups'!F:F,"5",'Doubting Setups'!K:K,"OT +")</f>
        <v>0</v>
      </c>
      <c r="AN22" s="75">
        <f>COUNTIFS('Doubting Setups'!F:F,"5",'Doubting Setups'!K:K,"OT -")</f>
        <v>0</v>
      </c>
      <c r="AO22" s="75">
        <f>COUNTIF(JOURNAL!F:F,"1")</f>
        <v>0</v>
      </c>
      <c r="AP22" s="76">
        <f>SUMIF(JOURNAL!F:F,"1",JOURNAL!Q:Q)</f>
        <v>0</v>
      </c>
      <c r="AQ22" s="76" t="e">
        <f t="shared" si="2"/>
        <v>#DIV/0!</v>
      </c>
      <c r="AS22" s="195" t="s">
        <v>31</v>
      </c>
      <c r="AT22" s="48">
        <f>AK15</f>
        <v>0</v>
      </c>
      <c r="AU22" s="196">
        <f>SUMIF(JOURNAL!O:O,"LS",JOURNAL!Q:Q)</f>
        <v>0</v>
      </c>
      <c r="AV22" s="195" t="s">
        <v>31</v>
      </c>
      <c r="AW22" s="48">
        <f>AK30</f>
        <v>0</v>
      </c>
      <c r="AX22" s="193">
        <f>SUMIF('Doubting Setups'!K:K,"TP",'Doubting Setups'!M:M)</f>
        <v>0</v>
      </c>
    </row>
    <row r="23" spans="2:50" ht="20.25" customHeight="1" x14ac:dyDescent="0.25">
      <c r="B23" s="314" t="s">
        <v>43</v>
      </c>
      <c r="C23" s="317"/>
      <c r="D23" s="122">
        <f>SUM(D16:D22)</f>
        <v>0</v>
      </c>
      <c r="E23" s="314" t="s">
        <v>43</v>
      </c>
      <c r="F23" s="317"/>
      <c r="G23" s="122">
        <f>SUM(G16:G22)</f>
        <v>0</v>
      </c>
      <c r="H23" s="314" t="s">
        <v>43</v>
      </c>
      <c r="I23" s="317"/>
      <c r="J23" s="122">
        <f>SUM(J16:J22)</f>
        <v>0</v>
      </c>
      <c r="L23" s="314" t="s">
        <v>43</v>
      </c>
      <c r="M23" s="317"/>
      <c r="N23" s="122">
        <f>SUM(N16:N22)</f>
        <v>0</v>
      </c>
      <c r="O23" s="314" t="s">
        <v>43</v>
      </c>
      <c r="P23" s="317"/>
      <c r="Q23" s="122">
        <f>SUM(Q16:Q22)</f>
        <v>0</v>
      </c>
      <c r="R23" s="314" t="s">
        <v>43</v>
      </c>
      <c r="S23" s="317"/>
      <c r="T23" s="122">
        <f>SUM(T16:T22)</f>
        <v>0</v>
      </c>
      <c r="V23" s="314" t="s">
        <v>43</v>
      </c>
      <c r="W23" s="314"/>
      <c r="X23" s="122">
        <f>SUM(X16:X22)</f>
        <v>0</v>
      </c>
      <c r="Y23" s="314" t="s">
        <v>43</v>
      </c>
      <c r="Z23" s="314"/>
      <c r="AA23" s="122">
        <f>SUM(AA16:AA22)</f>
        <v>0</v>
      </c>
      <c r="AB23" s="314" t="s">
        <v>43</v>
      </c>
      <c r="AC23" s="314"/>
      <c r="AD23" s="122">
        <f>SUM(AD16:AD22)</f>
        <v>0</v>
      </c>
      <c r="AF23" s="323"/>
      <c r="AG23" s="110" t="s">
        <v>73</v>
      </c>
      <c r="AH23" s="48">
        <f>COUNTIFS('Doubting Setups'!F:F,"6",'Doubting Setups'!K:K,"TP")</f>
        <v>0</v>
      </c>
      <c r="AI23" s="48">
        <f>COUNTIFS('Doubting Setups'!F:F,"6",'Doubting Setups'!K:K,"SL")</f>
        <v>0</v>
      </c>
      <c r="AJ23" s="48">
        <f>COUNTIFS('Doubting Setups'!F:F,"6",'Doubting Setups'!K:K,"PS")</f>
        <v>0</v>
      </c>
      <c r="AK23" s="48">
        <f>COUNTIFS('Doubting Setups'!F:F,"6",'Doubting Setups'!K:K,"LS")</f>
        <v>0</v>
      </c>
      <c r="AL23" s="48">
        <f>COUNTIFS('Doubting Setups'!F:F,"6",'Doubting Setups'!K:K,"RF")</f>
        <v>0</v>
      </c>
      <c r="AM23" s="48">
        <f>COUNTIFS('Doubting Setups'!F:F,"6",'Doubting Setups'!K:K,"OT +")</f>
        <v>0</v>
      </c>
      <c r="AN23" s="48">
        <f>COUNTIFS('Doubting Setups'!F:F,"6",'Doubting Setups'!K:K,"OT -")</f>
        <v>0</v>
      </c>
      <c r="AO23" s="48">
        <f>COUNTIF(JOURNAL!F:F,"1")</f>
        <v>0</v>
      </c>
      <c r="AP23" s="185">
        <f>SUMIF(JOURNAL!F:F,"1",JOURNAL!Q:Q)</f>
        <v>0</v>
      </c>
      <c r="AQ23" s="77" t="e">
        <f t="shared" si="2"/>
        <v>#DIV/0!</v>
      </c>
      <c r="AS23" s="195" t="s">
        <v>32</v>
      </c>
      <c r="AT23" s="48">
        <f>AL15</f>
        <v>0</v>
      </c>
      <c r="AU23" s="196">
        <f>SUMIF(JOURNAL!O:O,"RF",JOURNAL!Q:Q)</f>
        <v>0</v>
      </c>
      <c r="AV23" s="195" t="s">
        <v>32</v>
      </c>
      <c r="AW23" s="48">
        <f>AL30</f>
        <v>0</v>
      </c>
      <c r="AX23" s="193">
        <f>SUMIF('Doubting Setups'!K:K,"TP",'Doubting Setups'!M:M)</f>
        <v>0</v>
      </c>
    </row>
    <row r="24" spans="2:50" ht="18.75" x14ac:dyDescent="0.25">
      <c r="B24" s="315" t="s">
        <v>44</v>
      </c>
      <c r="C24" s="318"/>
      <c r="D24" s="192" t="e">
        <f>SUM(D16,D18,D19,D21)/D23</f>
        <v>#DIV/0!</v>
      </c>
      <c r="E24" s="315" t="s">
        <v>44</v>
      </c>
      <c r="F24" s="318"/>
      <c r="G24" s="192" t="e">
        <f>SUM(G16,G18,G19,G21)/G23</f>
        <v>#DIV/0!</v>
      </c>
      <c r="H24" s="315" t="s">
        <v>44</v>
      </c>
      <c r="I24" s="318"/>
      <c r="J24" s="192" t="e">
        <f>SUM(J16,J18,J19,J21)/J23</f>
        <v>#DIV/0!</v>
      </c>
      <c r="L24" s="315" t="s">
        <v>44</v>
      </c>
      <c r="M24" s="318"/>
      <c r="N24" s="192" t="e">
        <f>SUM(N16,N18,N19,N21)/N23</f>
        <v>#DIV/0!</v>
      </c>
      <c r="O24" s="315" t="s">
        <v>44</v>
      </c>
      <c r="P24" s="318"/>
      <c r="Q24" s="192" t="e">
        <f>SUM(Q16,Q18,Q19,Q21)/Q23</f>
        <v>#DIV/0!</v>
      </c>
      <c r="R24" s="315" t="s">
        <v>44</v>
      </c>
      <c r="S24" s="318"/>
      <c r="T24" s="192" t="e">
        <f>SUM(T16,T18,T19,T21)/T23</f>
        <v>#DIV/0!</v>
      </c>
      <c r="V24" s="315" t="s">
        <v>44</v>
      </c>
      <c r="W24" s="315"/>
      <c r="X24" s="192" t="e">
        <f>SUM(X16,X18,X19,X21)/X23</f>
        <v>#DIV/0!</v>
      </c>
      <c r="Y24" s="315" t="s">
        <v>44</v>
      </c>
      <c r="Z24" s="315"/>
      <c r="AA24" s="192" t="e">
        <f>SUM(AA16,AA18,AA19,AA21)/AA23</f>
        <v>#DIV/0!</v>
      </c>
      <c r="AB24" s="315" t="s">
        <v>44</v>
      </c>
      <c r="AC24" s="315"/>
      <c r="AD24" s="192" t="e">
        <f>SUM(AD16,AD18,AD19,AD21)/AD23</f>
        <v>#DIV/0!</v>
      </c>
      <c r="AF24" s="323"/>
      <c r="AG24" s="110" t="s">
        <v>74</v>
      </c>
      <c r="AH24" s="75">
        <f>COUNTIFS('Doubting Setups'!F:F,"7",'Doubting Setups'!K:K,"TP")</f>
        <v>0</v>
      </c>
      <c r="AI24" s="75">
        <f>COUNTIFS('Doubting Setups'!F:F,"7",'Doubting Setups'!K:K,"SL")</f>
        <v>0</v>
      </c>
      <c r="AJ24" s="75">
        <f>COUNTIFS('Doubting Setups'!F:F,"7",'Doubting Setups'!K:K,"PS")</f>
        <v>0</v>
      </c>
      <c r="AK24" s="75">
        <f>COUNTIFS('Doubting Setups'!F:F,"7",'Doubting Setups'!K:K,"LS")</f>
        <v>0</v>
      </c>
      <c r="AL24" s="75">
        <f>COUNTIFS('Doubting Setups'!F:F,"7",'Doubting Setups'!K:K,"RF")</f>
        <v>0</v>
      </c>
      <c r="AM24" s="75">
        <f>COUNTIFS('Doubting Setups'!F:F,"7",'Doubting Setups'!K:K,"OT +")</f>
        <v>0</v>
      </c>
      <c r="AN24" s="75">
        <f>COUNTIFS('Doubting Setups'!F:F,"7",'Doubting Setups'!K:K,"OT -")</f>
        <v>0</v>
      </c>
      <c r="AO24" s="75">
        <f>COUNTIF(JOURNAL!F:F,"1")</f>
        <v>0</v>
      </c>
      <c r="AP24" s="76">
        <f>SUMIF(JOURNAL!F:F,"1",JOURNAL!Q:Q)</f>
        <v>0</v>
      </c>
      <c r="AQ24" s="76" t="e">
        <f t="shared" si="2"/>
        <v>#DIV/0!</v>
      </c>
      <c r="AS24" s="195" t="s">
        <v>33</v>
      </c>
      <c r="AT24" s="48">
        <f>AM15</f>
        <v>0</v>
      </c>
      <c r="AU24" s="196">
        <f>SUMIF(JOURNAL!O:O,"OT +",JOURNAL!Q:Q)</f>
        <v>0</v>
      </c>
      <c r="AV24" s="195" t="s">
        <v>33</v>
      </c>
      <c r="AW24" s="48">
        <f>AM30</f>
        <v>0</v>
      </c>
      <c r="AX24" s="193">
        <f>SUMIF('Doubting Setups'!K:K,"TP",'Doubting Setups'!M:M)</f>
        <v>0</v>
      </c>
    </row>
    <row r="25" spans="2:50" ht="18.75" x14ac:dyDescent="0.25">
      <c r="AF25" s="323"/>
      <c r="AG25" s="110" t="s">
        <v>75</v>
      </c>
      <c r="AH25" s="48">
        <f>COUNTIFS('Doubting Setups'!F:F,"8",'Doubting Setups'!K:K,"TP")</f>
        <v>0</v>
      </c>
      <c r="AI25" s="48">
        <f>COUNTIFS('Doubting Setups'!F:F,"8",'Doubting Setups'!K:K,"SL")</f>
        <v>0</v>
      </c>
      <c r="AJ25" s="48">
        <f>COUNTIFS('Doubting Setups'!F:F,"8",'Doubting Setups'!K:K,"PS")</f>
        <v>0</v>
      </c>
      <c r="AK25" s="48">
        <f>COUNTIFS('Doubting Setups'!F:F,"8",'Doubting Setups'!K:K,"LS")</f>
        <v>0</v>
      </c>
      <c r="AL25" s="48">
        <f>COUNTIFS('Doubting Setups'!F:F,"8",'Doubting Setups'!K:K,"RF")</f>
        <v>0</v>
      </c>
      <c r="AM25" s="48">
        <f>COUNTIFS('Doubting Setups'!F:F,"8",'Doubting Setups'!K:K,"OT +")</f>
        <v>0</v>
      </c>
      <c r="AN25" s="48">
        <f>COUNTIFS('Doubting Setups'!F:F,"8",'Doubting Setups'!K:K,"OT -")</f>
        <v>0</v>
      </c>
      <c r="AO25" s="48">
        <f>COUNTIF(JOURNAL!F:F,"1")</f>
        <v>0</v>
      </c>
      <c r="AP25" s="185">
        <f>SUMIF(JOURNAL!F:F,"1",JOURNAL!Q:Q)</f>
        <v>0</v>
      </c>
      <c r="AQ25" s="77" t="e">
        <f t="shared" si="2"/>
        <v>#DIV/0!</v>
      </c>
      <c r="AS25" s="195" t="s">
        <v>34</v>
      </c>
      <c r="AT25" s="48">
        <f>AN15</f>
        <v>0</v>
      </c>
      <c r="AU25" s="196">
        <f>SUMIF(JOURNAL!O:O,"OT -",JOURNAL!Q:Q)</f>
        <v>0</v>
      </c>
      <c r="AV25" s="195" t="s">
        <v>34</v>
      </c>
      <c r="AW25" s="48">
        <f>AN30</f>
        <v>0</v>
      </c>
      <c r="AX25" s="193">
        <f>SUMIF('Doubting Setups'!K:K,"TP",'Doubting Setups'!M:M)</f>
        <v>0</v>
      </c>
    </row>
    <row r="26" spans="2:50" ht="18" customHeight="1" x14ac:dyDescent="0.25">
      <c r="B26" s="305" t="s">
        <v>74</v>
      </c>
      <c r="C26" s="306"/>
      <c r="D26" s="306"/>
      <c r="E26" s="306"/>
      <c r="F26" s="306"/>
      <c r="G26" s="306"/>
      <c r="H26" s="306"/>
      <c r="I26" s="306"/>
      <c r="J26" s="307"/>
      <c r="L26" s="316" t="s">
        <v>75</v>
      </c>
      <c r="M26" s="316"/>
      <c r="N26" s="316"/>
      <c r="O26" s="316"/>
      <c r="P26" s="316"/>
      <c r="Q26" s="316"/>
      <c r="R26" s="316"/>
      <c r="S26" s="316"/>
      <c r="T26" s="316"/>
      <c r="V26" s="316" t="s">
        <v>76</v>
      </c>
      <c r="W26" s="316"/>
      <c r="X26" s="316"/>
      <c r="Y26" s="316"/>
      <c r="Z26" s="316"/>
      <c r="AA26" s="316"/>
      <c r="AB26" s="316"/>
      <c r="AC26" s="316"/>
      <c r="AD26" s="316"/>
      <c r="AF26" s="323"/>
      <c r="AG26" s="110" t="s">
        <v>76</v>
      </c>
      <c r="AH26" s="75">
        <f>COUNTIFS('Doubting Setups'!F:F,"9",'Doubting Setups'!K:K,"TP")</f>
        <v>0</v>
      </c>
      <c r="AI26" s="75">
        <f>COUNTIFS('Doubting Setups'!F:F,"9",'Doubting Setups'!K:K,"SL")</f>
        <v>0</v>
      </c>
      <c r="AJ26" s="75">
        <f>COUNTIFS('Doubting Setups'!F:F,"9",'Doubting Setups'!K:K,"PS")</f>
        <v>0</v>
      </c>
      <c r="AK26" s="75">
        <f>COUNTIFS('Doubting Setups'!F:F,"9",'Doubting Setups'!K:K,"LS")</f>
        <v>0</v>
      </c>
      <c r="AL26" s="75">
        <f>COUNTIFS('Doubting Setups'!F:F,"9",'Doubting Setups'!K:K,"RF")</f>
        <v>0</v>
      </c>
      <c r="AM26" s="75">
        <f>COUNTIFS('Doubting Setups'!F:F,"9",'Doubting Setups'!K:K,"OT +")</f>
        <v>0</v>
      </c>
      <c r="AN26" s="75">
        <f>COUNTIFS('Doubting Setups'!F:F,"9",'Doubting Setups'!K:K,"OT -")</f>
        <v>0</v>
      </c>
      <c r="AO26" s="75">
        <f>COUNTIF(JOURNAL!F:F,"1")</f>
        <v>0</v>
      </c>
      <c r="AP26" s="76">
        <f>SUMIF(JOURNAL!F:F,"1",JOURNAL!Q:Q)</f>
        <v>0</v>
      </c>
      <c r="AQ26" s="76" t="e">
        <f t="shared" si="2"/>
        <v>#DIV/0!</v>
      </c>
    </row>
    <row r="27" spans="2:50" ht="18" customHeight="1" x14ac:dyDescent="0.25">
      <c r="B27" s="308"/>
      <c r="C27" s="309"/>
      <c r="D27" s="309"/>
      <c r="E27" s="309"/>
      <c r="F27" s="309"/>
      <c r="G27" s="309"/>
      <c r="H27" s="309"/>
      <c r="I27" s="309"/>
      <c r="J27" s="310"/>
      <c r="L27" s="316"/>
      <c r="M27" s="316"/>
      <c r="N27" s="316"/>
      <c r="O27" s="316"/>
      <c r="P27" s="316"/>
      <c r="Q27" s="316"/>
      <c r="R27" s="316"/>
      <c r="S27" s="316"/>
      <c r="T27" s="316"/>
      <c r="V27" s="316"/>
      <c r="W27" s="316"/>
      <c r="X27" s="316"/>
      <c r="Y27" s="316"/>
      <c r="Z27" s="316"/>
      <c r="AA27" s="316"/>
      <c r="AB27" s="316"/>
      <c r="AC27" s="316"/>
      <c r="AD27" s="316"/>
      <c r="AF27" s="323"/>
      <c r="AG27" s="110" t="s">
        <v>77</v>
      </c>
      <c r="AH27" s="48">
        <f>COUNTIFS('Doubting Setups'!F:F,"10",'Doubting Setups'!K:K,"TP")</f>
        <v>0</v>
      </c>
      <c r="AI27" s="48">
        <f>COUNTIFS('Doubting Setups'!F:F,"10",'Doubting Setups'!K:K,"SL")</f>
        <v>0</v>
      </c>
      <c r="AJ27" s="48">
        <f>COUNTIFS('Doubting Setups'!F:F,"10",'Doubting Setups'!K:K,"PS")</f>
        <v>0</v>
      </c>
      <c r="AK27" s="48">
        <f>COUNTIFS('Doubting Setups'!F:F,"10",'Doubting Setups'!K:K,"LS")</f>
        <v>0</v>
      </c>
      <c r="AL27" s="48">
        <f>COUNTIFS('Doubting Setups'!F:F,"10",'Doubting Setups'!K:K,"RF")</f>
        <v>0</v>
      </c>
      <c r="AM27" s="48">
        <f>COUNTIFS('Doubting Setups'!F:F,"10",'Doubting Setups'!K:K,"OT +")</f>
        <v>0</v>
      </c>
      <c r="AN27" s="48">
        <f>COUNTIFS('Doubting Setups'!F:F,"10",'Doubting Setups'!K:K,"OT -")</f>
        <v>0</v>
      </c>
      <c r="AO27" s="48">
        <f>COUNTIF(JOURNAL!F:F,"1")</f>
        <v>0</v>
      </c>
      <c r="AP27" s="185">
        <f>SUMIF(JOURNAL!F:F,"1",JOURNAL!Q:Q)</f>
        <v>0</v>
      </c>
      <c r="AQ27" s="77" t="e">
        <f t="shared" si="2"/>
        <v>#DIV/0!</v>
      </c>
    </row>
    <row r="28" spans="2:50" ht="16.5" customHeight="1" x14ac:dyDescent="0.25">
      <c r="B28" s="311" t="s">
        <v>62</v>
      </c>
      <c r="C28" s="54" t="s">
        <v>27</v>
      </c>
      <c r="D28" s="48">
        <f>COUNTIFS(JOURNAL!F:F,"7",JOURNAL!G:G,"1-10",JOURNAL!O:O,"TP")</f>
        <v>0</v>
      </c>
      <c r="E28" s="311" t="s">
        <v>63</v>
      </c>
      <c r="F28" s="54" t="s">
        <v>27</v>
      </c>
      <c r="G28" s="48">
        <f>COUNTIFS(JOURNAL!F:F,"7",JOURNAL!G:G,"11-20",JOURNAL!O:O,"TP")</f>
        <v>0</v>
      </c>
      <c r="H28" s="311" t="s">
        <v>64</v>
      </c>
      <c r="I28" s="54" t="s">
        <v>27</v>
      </c>
      <c r="J28" s="48">
        <f>COUNTIFS(JOURNAL!F:F,"7",JOURNAL!G:G,"21-31",JOURNAL!O:O,"TP")</f>
        <v>0</v>
      </c>
      <c r="L28" s="311" t="s">
        <v>62</v>
      </c>
      <c r="M28" s="54" t="s">
        <v>27</v>
      </c>
      <c r="N28" s="48">
        <f>COUNTIFS(JOURNAL!F:F,"8",JOURNAL!G:G,"1-10",JOURNAL!O:O,"TP")</f>
        <v>0</v>
      </c>
      <c r="O28" s="311" t="s">
        <v>63</v>
      </c>
      <c r="P28" s="54" t="s">
        <v>27</v>
      </c>
      <c r="Q28" s="48">
        <f>COUNTIFS(JOURNAL!F:F,"8",JOURNAL!G:G,"11-20",JOURNAL!O:O,"TP")</f>
        <v>0</v>
      </c>
      <c r="R28" s="311" t="s">
        <v>64</v>
      </c>
      <c r="S28" s="54" t="s">
        <v>27</v>
      </c>
      <c r="T28" s="48">
        <f>COUNTIFS(JOURNAL!F:F,"8",JOURNAL!G:G,"21-31",JOURNAL!O:O,"TP")</f>
        <v>0</v>
      </c>
      <c r="V28" s="311" t="s">
        <v>62</v>
      </c>
      <c r="W28" s="54" t="s">
        <v>27</v>
      </c>
      <c r="X28" s="48">
        <f>COUNTIFS(JOURNAL!F:F,"9",JOURNAL!G:G,"1-10",JOURNAL!O:O,"TP")</f>
        <v>0</v>
      </c>
      <c r="Y28" s="311" t="s">
        <v>63</v>
      </c>
      <c r="Z28" s="54" t="s">
        <v>27</v>
      </c>
      <c r="AA28" s="48">
        <f>COUNTIFS(JOURNAL!F:F,"9",JOURNAL!G:G,"11-20",JOURNAL!O:O,"TP")</f>
        <v>0</v>
      </c>
      <c r="AB28" s="311" t="s">
        <v>64</v>
      </c>
      <c r="AC28" s="54" t="s">
        <v>27</v>
      </c>
      <c r="AD28" s="48">
        <f>COUNTIFS(JOURNAL!F:F,"9",JOURNAL!G:G,"21-31",JOURNAL!O:O,"TP")</f>
        <v>0</v>
      </c>
      <c r="AF28" s="323"/>
      <c r="AG28" s="110" t="s">
        <v>78</v>
      </c>
      <c r="AH28" s="75">
        <f>COUNTIFS('Doubting Setups'!F:F,"11",'Doubting Setups'!K:K,"TP")</f>
        <v>0</v>
      </c>
      <c r="AI28" s="75">
        <f>COUNTIFS('Doubting Setups'!F:F,"11",'Doubting Setups'!K:K,"SL")</f>
        <v>0</v>
      </c>
      <c r="AJ28" s="75">
        <f>COUNTIFS('Doubting Setups'!F:F,"11",'Doubting Setups'!K:K,"PS")</f>
        <v>0</v>
      </c>
      <c r="AK28" s="75">
        <f>COUNTIFS('Doubting Setups'!F:F,"11",'Doubting Setups'!K:K,"LS")</f>
        <v>0</v>
      </c>
      <c r="AL28" s="75">
        <f>COUNTIFS('Doubting Setups'!F:F,"11",'Doubting Setups'!K:K,"RF")</f>
        <v>0</v>
      </c>
      <c r="AM28" s="75">
        <f>COUNTIFS('Doubting Setups'!F:F,"11",'Doubting Setups'!K:K,"OT +")</f>
        <v>0</v>
      </c>
      <c r="AN28" s="75">
        <f>COUNTIFS('Doubting Setups'!F:F,"11",'Doubting Setups'!K:K,"OT -")</f>
        <v>0</v>
      </c>
      <c r="AO28" s="75">
        <f>COUNTIF(JOURNAL!F:F,"1")</f>
        <v>0</v>
      </c>
      <c r="AP28" s="76">
        <f>SUMIF(JOURNAL!F:F,"1",JOURNAL!Q:Q)</f>
        <v>0</v>
      </c>
      <c r="AQ28" s="76" t="e">
        <f t="shared" si="2"/>
        <v>#DIV/0!</v>
      </c>
    </row>
    <row r="29" spans="2:50" ht="21.75" customHeight="1" x14ac:dyDescent="0.25">
      <c r="B29" s="312"/>
      <c r="C29" s="55" t="s">
        <v>29</v>
      </c>
      <c r="D29" s="48">
        <f>COUNTIFS(JOURNAL!F:F,"7",JOURNAL!G:G,"1-10",JOURNAL!O:O,"SL")</f>
        <v>0</v>
      </c>
      <c r="E29" s="312"/>
      <c r="F29" s="55" t="s">
        <v>29</v>
      </c>
      <c r="G29" s="48">
        <f>COUNTIFS(JOURNAL!F:F,"7",JOURNAL!G:G,"11-20",JOURNAL!O:O,"SL")</f>
        <v>0</v>
      </c>
      <c r="H29" s="312"/>
      <c r="I29" s="55" t="s">
        <v>29</v>
      </c>
      <c r="J29" s="48">
        <f>COUNTIFS(JOURNAL!F:F,"7",JOURNAL!G:G,"21-31",JOURNAL!O:O,"SL")</f>
        <v>0</v>
      </c>
      <c r="L29" s="312"/>
      <c r="M29" s="55" t="s">
        <v>29</v>
      </c>
      <c r="N29" s="48">
        <f>COUNTIFS(JOURNAL!F:F,"8",JOURNAL!G:G,"1-10",JOURNAL!O:O,"SL")</f>
        <v>0</v>
      </c>
      <c r="O29" s="312"/>
      <c r="P29" s="55" t="s">
        <v>29</v>
      </c>
      <c r="Q29" s="48">
        <f>COUNTIFS(JOURNAL!F:F,"8",JOURNAL!G:G,"11-20",JOURNAL!O:O,"SL")</f>
        <v>0</v>
      </c>
      <c r="R29" s="312"/>
      <c r="S29" s="55" t="s">
        <v>29</v>
      </c>
      <c r="T29" s="48">
        <f>COUNTIFS(JOURNAL!F:F,"8",JOURNAL!G:G,"21-31",JOURNAL!O:O,"SL")</f>
        <v>0</v>
      </c>
      <c r="V29" s="312"/>
      <c r="W29" s="55" t="s">
        <v>29</v>
      </c>
      <c r="X29" s="48">
        <f>COUNTIFS(JOURNAL!F:F,"9",JOURNAL!G:G,"1-10",JOURNAL!O:O,"SL")</f>
        <v>0</v>
      </c>
      <c r="Y29" s="312"/>
      <c r="Z29" s="55" t="s">
        <v>29</v>
      </c>
      <c r="AA29" s="48">
        <f>COUNTIFS(JOURNAL!F:F,"9",JOURNAL!G:G,"11-20",JOURNAL!O:O,"SL")</f>
        <v>0</v>
      </c>
      <c r="AB29" s="312"/>
      <c r="AC29" s="55" t="s">
        <v>29</v>
      </c>
      <c r="AD29" s="48">
        <f>COUNTIFS(JOURNAL!F:F,"9",JOURNAL!G:G,"21-31",JOURNAL!O:O,"SL")</f>
        <v>0</v>
      </c>
      <c r="AF29" s="323"/>
      <c r="AG29" s="110" t="s">
        <v>79</v>
      </c>
      <c r="AH29" s="48">
        <f>COUNTIFS('Doubting Setups'!F:F,"12",'Doubting Setups'!K:K,"TP")</f>
        <v>0</v>
      </c>
      <c r="AI29" s="48">
        <f>COUNTIFS('Doubting Setups'!F:F,"12",'Doubting Setups'!K:K,"SL")</f>
        <v>0</v>
      </c>
      <c r="AJ29" s="48">
        <f>COUNTIFS('Doubting Setups'!F:F,"12",'Doubting Setups'!K:K,"PS")</f>
        <v>0</v>
      </c>
      <c r="AK29" s="48">
        <f>COUNTIFS('Doubting Setups'!F:F,"12",'Doubting Setups'!K:K,"LS")</f>
        <v>0</v>
      </c>
      <c r="AL29" s="48">
        <f>COUNTIFS('Doubting Setups'!F:F,"12",'Doubting Setups'!K:K,"RF")</f>
        <v>0</v>
      </c>
      <c r="AM29" s="48">
        <f>COUNTIFS('Doubting Setups'!F:F,"12",'Doubting Setups'!K:K,"OT +")</f>
        <v>0</v>
      </c>
      <c r="AN29" s="48">
        <f>COUNTIFS('Doubting Setups'!F:F,"12",'Doubting Setups'!K:K,"OT -")</f>
        <v>0</v>
      </c>
      <c r="AO29" s="48">
        <f>COUNTIF(JOURNAL!F:F,"1")</f>
        <v>0</v>
      </c>
      <c r="AP29" s="185">
        <f>SUMIF(JOURNAL!F:F,"1",JOURNAL!Q:Q)</f>
        <v>0</v>
      </c>
      <c r="AQ29" s="77" t="e">
        <f t="shared" si="2"/>
        <v>#DIV/0!</v>
      </c>
    </row>
    <row r="30" spans="2:50" ht="18" customHeight="1" x14ac:dyDescent="0.25">
      <c r="B30" s="312"/>
      <c r="C30" s="56" t="s">
        <v>32</v>
      </c>
      <c r="D30" s="48">
        <f>COUNTIFS(JOURNAL!F:F,"7",JOURNAL!G:G,"1-10",JOURNAL!O:O,"RF")</f>
        <v>0</v>
      </c>
      <c r="E30" s="312"/>
      <c r="F30" s="56" t="s">
        <v>32</v>
      </c>
      <c r="G30" s="48">
        <f>COUNTIFS(JOURNAL!F:F,"7",JOURNAL!G:G,"11-20",JOURNAL!O:O,"RF")</f>
        <v>0</v>
      </c>
      <c r="H30" s="312"/>
      <c r="I30" s="56" t="s">
        <v>32</v>
      </c>
      <c r="J30" s="48">
        <f>COUNTIFS(JOURNAL!F:F,"7",JOURNAL!G:G,"21-31",JOURNAL!O:O,"RF")</f>
        <v>0</v>
      </c>
      <c r="L30" s="312"/>
      <c r="M30" s="56" t="s">
        <v>32</v>
      </c>
      <c r="N30" s="48">
        <f>COUNTIFS(JOURNAL!F:F,"8",JOURNAL!G:G,"1-10",JOURNAL!O:O,"RF")</f>
        <v>0</v>
      </c>
      <c r="O30" s="312"/>
      <c r="P30" s="56" t="s">
        <v>32</v>
      </c>
      <c r="Q30" s="48">
        <f>COUNTIFS(JOURNAL!F:F,"8",JOURNAL!G:G,"11-20",JOURNAL!O:O,"RF")</f>
        <v>0</v>
      </c>
      <c r="R30" s="312"/>
      <c r="S30" s="56" t="s">
        <v>32</v>
      </c>
      <c r="T30" s="48">
        <f>COUNTIFS(JOURNAL!F:F,"8",JOURNAL!G:G,"21-31",JOURNAL!O:O,"RF")</f>
        <v>0</v>
      </c>
      <c r="V30" s="312"/>
      <c r="W30" s="56" t="s">
        <v>32</v>
      </c>
      <c r="X30" s="48">
        <f>COUNTIFS(JOURNAL!F:F,"9",JOURNAL!G:G,"1-10",JOURNAL!O:O,"RF")</f>
        <v>0</v>
      </c>
      <c r="Y30" s="312"/>
      <c r="Z30" s="56" t="s">
        <v>32</v>
      </c>
      <c r="AA30" s="48">
        <f>COUNTIFS(JOURNAL!F:F,"9",JOURNAL!G:G,"11-20",JOURNAL!O:O,"RF")</f>
        <v>0</v>
      </c>
      <c r="AB30" s="312"/>
      <c r="AC30" s="56" t="s">
        <v>32</v>
      </c>
      <c r="AD30" s="48">
        <f>COUNTIFS(JOURNAL!F:F,"9",JOURNAL!G:G,"21-31",JOURNAL!O:O,"RF")</f>
        <v>0</v>
      </c>
      <c r="AF30" s="323"/>
      <c r="AG30" s="110" t="s">
        <v>115</v>
      </c>
      <c r="AH30" s="75">
        <f t="shared" ref="AH30:AQ30" si="3">SUM(AH18:AH29)</f>
        <v>0</v>
      </c>
      <c r="AI30" s="75">
        <f t="shared" si="3"/>
        <v>0</v>
      </c>
      <c r="AJ30" s="75">
        <f t="shared" si="3"/>
        <v>0</v>
      </c>
      <c r="AK30" s="75">
        <f t="shared" si="3"/>
        <v>0</v>
      </c>
      <c r="AL30" s="75">
        <f t="shared" si="3"/>
        <v>0</v>
      </c>
      <c r="AM30" s="75">
        <f t="shared" si="3"/>
        <v>0</v>
      </c>
      <c r="AN30" s="75">
        <f t="shared" si="3"/>
        <v>0</v>
      </c>
      <c r="AO30" s="75">
        <f t="shared" si="3"/>
        <v>0</v>
      </c>
      <c r="AP30" s="76">
        <f t="shared" si="3"/>
        <v>0</v>
      </c>
      <c r="AQ30" s="76" t="e">
        <f t="shared" si="3"/>
        <v>#DIV/0!</v>
      </c>
    </row>
    <row r="31" spans="2:50" ht="15" customHeight="1" x14ac:dyDescent="0.25">
      <c r="B31" s="312"/>
      <c r="C31" s="57" t="s">
        <v>30</v>
      </c>
      <c r="D31" s="48">
        <f>COUNTIFS(JOURNAL!F:F,"7",JOURNAL!G:G,"1-10",JOURNAL!O:O,"PS")</f>
        <v>0</v>
      </c>
      <c r="E31" s="312"/>
      <c r="F31" s="57" t="s">
        <v>30</v>
      </c>
      <c r="G31" s="48">
        <f>COUNTIFS(JOURNAL!F:F,"7",JOURNAL!G:G,"11-20",JOURNAL!O:O,"PS")</f>
        <v>0</v>
      </c>
      <c r="H31" s="312"/>
      <c r="I31" s="57" t="s">
        <v>30</v>
      </c>
      <c r="J31" s="48">
        <f>COUNTIFS(JOURNAL!F:F,"7",JOURNAL!G:G,"21-31",JOURNAL!O:O,"PS")</f>
        <v>0</v>
      </c>
      <c r="L31" s="312"/>
      <c r="M31" s="57" t="s">
        <v>30</v>
      </c>
      <c r="N31" s="48">
        <f>COUNTIFS(JOURNAL!F:F,"8",JOURNAL!G:G,"1-10",JOURNAL!O:O,"PS")</f>
        <v>0</v>
      </c>
      <c r="O31" s="312"/>
      <c r="P31" s="57" t="s">
        <v>30</v>
      </c>
      <c r="Q31" s="48">
        <f>COUNTIFS(JOURNAL!F:F,"8",JOURNAL!G:G,"11-20",JOURNAL!O:O,"PS")</f>
        <v>0</v>
      </c>
      <c r="R31" s="312"/>
      <c r="S31" s="57" t="s">
        <v>30</v>
      </c>
      <c r="T31" s="48">
        <f>COUNTIFS(JOURNAL!F:F,"8",JOURNAL!G:G,"21-31",JOURNAL!O:O,"PS")</f>
        <v>0</v>
      </c>
      <c r="V31" s="312"/>
      <c r="W31" s="57" t="s">
        <v>30</v>
      </c>
      <c r="X31" s="48">
        <f>COUNTIFS(JOURNAL!F:F,"9",JOURNAL!G:G,"1-10",JOURNAL!O:O,"PS")</f>
        <v>0</v>
      </c>
      <c r="Y31" s="312"/>
      <c r="Z31" s="57" t="s">
        <v>30</v>
      </c>
      <c r="AA31" s="48">
        <f>COUNTIFS(JOURNAL!F:F,"9",JOURNAL!G:G,"11-20",JOURNAL!O:O,"PS")</f>
        <v>0</v>
      </c>
      <c r="AB31" s="312"/>
      <c r="AC31" s="57" t="s">
        <v>30</v>
      </c>
      <c r="AD31" s="48">
        <f>COUNTIFS(JOURNAL!F:F,"9",JOURNAL!G:G,"21-31",JOURNAL!O:O,"PS")</f>
        <v>0</v>
      </c>
    </row>
    <row r="32" spans="2:50" ht="15.75" x14ac:dyDescent="0.25">
      <c r="B32" s="312"/>
      <c r="C32" s="58" t="s">
        <v>31</v>
      </c>
      <c r="D32" s="48">
        <f>COUNTIFS(JOURNAL!F:F,"7",JOURNAL!G:G,"1-10",JOURNAL!O:O,"LS")</f>
        <v>0</v>
      </c>
      <c r="E32" s="312"/>
      <c r="F32" s="58" t="s">
        <v>31</v>
      </c>
      <c r="G32" s="48">
        <f>COUNTIFS(JOURNAL!F:F,"7",JOURNAL!G:G,"11-20",JOURNAL!O:O,"LS")</f>
        <v>0</v>
      </c>
      <c r="H32" s="312"/>
      <c r="I32" s="58" t="s">
        <v>31</v>
      </c>
      <c r="J32" s="48">
        <f>COUNTIFS(JOURNAL!F:F,"7",JOURNAL!G:G,"21-31",JOURNAL!O:O,"LS")</f>
        <v>0</v>
      </c>
      <c r="L32" s="312"/>
      <c r="M32" s="58" t="s">
        <v>31</v>
      </c>
      <c r="N32" s="48">
        <f>COUNTIFS(JOURNAL!F:F,"8",JOURNAL!G:G,"1-10",JOURNAL!O:O,"LS")</f>
        <v>0</v>
      </c>
      <c r="O32" s="312"/>
      <c r="P32" s="58" t="s">
        <v>31</v>
      </c>
      <c r="Q32" s="48">
        <f>COUNTIFS(JOURNAL!F:F,"8",JOURNAL!G:G,"11-20",JOURNAL!O:O,"LS")</f>
        <v>0</v>
      </c>
      <c r="R32" s="312"/>
      <c r="S32" s="58" t="s">
        <v>31</v>
      </c>
      <c r="T32" s="48">
        <f>COUNTIFS(JOURNAL!F:F,"8",JOURNAL!G:G,"21-31",JOURNAL!O:O,"LS")</f>
        <v>0</v>
      </c>
      <c r="V32" s="312"/>
      <c r="W32" s="58" t="s">
        <v>31</v>
      </c>
      <c r="X32" s="48">
        <f>COUNTIFS(JOURNAL!F:F,"9",JOURNAL!G:G,"1-10",JOURNAL!O:O,"LS")</f>
        <v>0</v>
      </c>
      <c r="Y32" s="312"/>
      <c r="Z32" s="58" t="s">
        <v>31</v>
      </c>
      <c r="AA32" s="48">
        <f>COUNTIFS(JOURNAL!F:F,"9",JOURNAL!G:G,"11-20",JOURNAL!O:O,"LS")</f>
        <v>0</v>
      </c>
      <c r="AB32" s="312"/>
      <c r="AC32" s="58" t="s">
        <v>31</v>
      </c>
      <c r="AD32" s="48">
        <f>COUNTIFS(JOURNAL!F:F,"9",JOURNAL!G:G,"21-31",JOURNAL!O:O,"LS")</f>
        <v>0</v>
      </c>
    </row>
    <row r="33" spans="2:30" ht="15.75" x14ac:dyDescent="0.25">
      <c r="B33" s="312"/>
      <c r="C33" s="59" t="s">
        <v>33</v>
      </c>
      <c r="D33" s="48">
        <f>COUNTIFS(JOURNAL!F:F,"7",JOURNAL!G:G,"1-10",JOURNAL!O:O,"OT +")</f>
        <v>0</v>
      </c>
      <c r="E33" s="312"/>
      <c r="F33" s="59" t="s">
        <v>33</v>
      </c>
      <c r="G33" s="48">
        <f>COUNTIFS(JOURNAL!F:F,"7",JOURNAL!G:G,"11-20",JOURNAL!O:O,"OT +")</f>
        <v>0</v>
      </c>
      <c r="H33" s="312"/>
      <c r="I33" s="59" t="s">
        <v>33</v>
      </c>
      <c r="J33" s="48">
        <f>COUNTIFS(JOURNAL!F:F,"7",JOURNAL!G:G,"21-31",JOURNAL!O:O,"OT +")</f>
        <v>0</v>
      </c>
      <c r="L33" s="312"/>
      <c r="M33" s="59" t="s">
        <v>33</v>
      </c>
      <c r="N33" s="48">
        <f>COUNTIFS(JOURNAL!F:F,"8",JOURNAL!G:G,"1-10",JOURNAL!O:O,"OT +")</f>
        <v>0</v>
      </c>
      <c r="O33" s="312"/>
      <c r="P33" s="59" t="s">
        <v>33</v>
      </c>
      <c r="Q33" s="48">
        <f>COUNTIFS(JOURNAL!F:F,"8",JOURNAL!G:G,"11-20",JOURNAL!O:O,"OT +")</f>
        <v>0</v>
      </c>
      <c r="R33" s="312"/>
      <c r="S33" s="59" t="s">
        <v>33</v>
      </c>
      <c r="T33" s="48">
        <f>COUNTIFS(JOURNAL!F:F,"8",JOURNAL!G:G,"21-31",JOURNAL!O:O,"OT +")</f>
        <v>0</v>
      </c>
      <c r="V33" s="312"/>
      <c r="W33" s="59" t="s">
        <v>33</v>
      </c>
      <c r="X33" s="48">
        <f>COUNTIFS(JOURNAL!F:F,"9",JOURNAL!G:G,"1-10",JOURNAL!O:O,"OT +")</f>
        <v>0</v>
      </c>
      <c r="Y33" s="312"/>
      <c r="Z33" s="59" t="s">
        <v>33</v>
      </c>
      <c r="AA33" s="48">
        <f>COUNTIFS(JOURNAL!F:F,"9",JOURNAL!G:G,"11-20",JOURNAL!O:O,"OT +")</f>
        <v>0</v>
      </c>
      <c r="AB33" s="312"/>
      <c r="AC33" s="59" t="s">
        <v>33</v>
      </c>
      <c r="AD33" s="48">
        <f>COUNTIFS(JOURNAL!F:F,"9",JOURNAL!G:G,"21-31",JOURNAL!O:O,"OT +")</f>
        <v>0</v>
      </c>
    </row>
    <row r="34" spans="2:30" ht="15" customHeight="1" x14ac:dyDescent="0.25">
      <c r="B34" s="313"/>
      <c r="C34" s="60" t="s">
        <v>34</v>
      </c>
      <c r="D34" s="87">
        <f>COUNTIFS(JOURNAL!F:F,"7",JOURNAL!G:G,"1-10",JOURNAL!O:O,"OT -")</f>
        <v>0</v>
      </c>
      <c r="E34" s="313"/>
      <c r="F34" s="60" t="s">
        <v>34</v>
      </c>
      <c r="G34" s="48">
        <f>COUNTIFS(JOURNAL!F:F,"7",JOURNAL!G:G,"11-20",JOURNAL!O:O,"OT -")</f>
        <v>0</v>
      </c>
      <c r="H34" s="313"/>
      <c r="I34" s="60" t="s">
        <v>34</v>
      </c>
      <c r="J34" s="48">
        <f>COUNTIFS(JOURNAL!F:F,"7",JOURNAL!G:G,"21-31",JOURNAL!O:O,"OT -")</f>
        <v>0</v>
      </c>
      <c r="L34" s="313"/>
      <c r="M34" s="60" t="s">
        <v>34</v>
      </c>
      <c r="N34" s="87">
        <f>COUNTIFS(JOURNAL!F:F,"8",JOURNAL!G:G,"1-10",JOURNAL!O:O,"OT -")</f>
        <v>0</v>
      </c>
      <c r="O34" s="313"/>
      <c r="P34" s="60" t="s">
        <v>34</v>
      </c>
      <c r="Q34" s="48">
        <f>COUNTIFS(JOURNAL!F:F,"8",JOURNAL!G:G,"11-20",JOURNAL!O:O,"OT -")</f>
        <v>0</v>
      </c>
      <c r="R34" s="313"/>
      <c r="S34" s="60" t="s">
        <v>34</v>
      </c>
      <c r="T34" s="48">
        <f>COUNTIFS(JOURNAL!F:F,"8",JOURNAL!G:G,"21-31",JOURNAL!O:O,"OT -")</f>
        <v>0</v>
      </c>
      <c r="V34" s="313"/>
      <c r="W34" s="60" t="s">
        <v>34</v>
      </c>
      <c r="X34" s="87">
        <f>COUNTIFS(JOURNAL!F:F,"9",JOURNAL!G:G,"1-10",JOURNAL!O:O,"OT -")</f>
        <v>0</v>
      </c>
      <c r="Y34" s="313"/>
      <c r="Z34" s="60" t="s">
        <v>34</v>
      </c>
      <c r="AA34" s="48">
        <f>COUNTIFS(JOURNAL!F:F,"9",JOURNAL!G:G,"11-20",JOURNAL!O:O,"OT -")</f>
        <v>0</v>
      </c>
      <c r="AB34" s="313"/>
      <c r="AC34" s="60" t="s">
        <v>34</v>
      </c>
      <c r="AD34" s="48">
        <f>COUNTIFS(JOURNAL!F:F,"9",JOURNAL!G:G,"21-31",JOURNAL!O:O,"OT -")</f>
        <v>0</v>
      </c>
    </row>
    <row r="35" spans="2:30" ht="15" customHeight="1" x14ac:dyDescent="0.25">
      <c r="B35" s="319" t="s">
        <v>43</v>
      </c>
      <c r="C35" s="321"/>
      <c r="D35" s="122">
        <f>SUM(D28:D34)</f>
        <v>0</v>
      </c>
      <c r="E35" s="319" t="s">
        <v>43</v>
      </c>
      <c r="F35" s="319"/>
      <c r="G35" s="122">
        <f>SUM(G28:G34)</f>
        <v>0</v>
      </c>
      <c r="H35" s="319" t="s">
        <v>43</v>
      </c>
      <c r="I35" s="319"/>
      <c r="J35" s="122">
        <f>SUM(J28:J34)</f>
        <v>0</v>
      </c>
      <c r="L35" s="319" t="s">
        <v>43</v>
      </c>
      <c r="M35" s="319"/>
      <c r="N35" s="122">
        <f>SUM(N28:N34)</f>
        <v>0</v>
      </c>
      <c r="O35" s="319" t="s">
        <v>43</v>
      </c>
      <c r="P35" s="319"/>
      <c r="Q35" s="122">
        <f>SUM(Q28:Q34)</f>
        <v>0</v>
      </c>
      <c r="R35" s="319" t="s">
        <v>43</v>
      </c>
      <c r="S35" s="319"/>
      <c r="T35" s="122">
        <f>SUM(T28:T34)</f>
        <v>0</v>
      </c>
      <c r="V35" s="319" t="s">
        <v>43</v>
      </c>
      <c r="W35" s="319"/>
      <c r="X35" s="122">
        <f>SUM(X28:X34)</f>
        <v>0</v>
      </c>
      <c r="Y35" s="319" t="s">
        <v>43</v>
      </c>
      <c r="Z35" s="319"/>
      <c r="AA35" s="122">
        <f>SUM(AA28:AA34)</f>
        <v>0</v>
      </c>
      <c r="AB35" s="319" t="s">
        <v>43</v>
      </c>
      <c r="AC35" s="319"/>
      <c r="AD35" s="122">
        <f>SUM(AD28:AD34)</f>
        <v>0</v>
      </c>
    </row>
    <row r="36" spans="2:30" ht="15" customHeight="1" x14ac:dyDescent="0.25">
      <c r="B36" s="320" t="s">
        <v>44</v>
      </c>
      <c r="C36" s="322"/>
      <c r="D36" s="192" t="e">
        <f>SUM(D28,D30,D31,D33)/D35</f>
        <v>#DIV/0!</v>
      </c>
      <c r="E36" s="320" t="s">
        <v>44</v>
      </c>
      <c r="F36" s="320"/>
      <c r="G36" s="192" t="e">
        <f>SUM(G28,G30,G31,G33)/G35</f>
        <v>#DIV/0!</v>
      </c>
      <c r="H36" s="320" t="s">
        <v>44</v>
      </c>
      <c r="I36" s="320"/>
      <c r="J36" s="192" t="e">
        <f>SUM(J28,J30,J31,J33)/J35</f>
        <v>#DIV/0!</v>
      </c>
      <c r="L36" s="320" t="s">
        <v>44</v>
      </c>
      <c r="M36" s="320"/>
      <c r="N36" s="192" t="e">
        <f>SUM(N28,N30,N31,N33)/N35</f>
        <v>#DIV/0!</v>
      </c>
      <c r="O36" s="320" t="s">
        <v>44</v>
      </c>
      <c r="P36" s="320"/>
      <c r="Q36" s="192" t="e">
        <f>SUM(Q28,Q30,Q31,Q33)/Q35</f>
        <v>#DIV/0!</v>
      </c>
      <c r="R36" s="320" t="s">
        <v>44</v>
      </c>
      <c r="S36" s="320"/>
      <c r="T36" s="192" t="e">
        <f>SUM(T28,T30,T31,T33)/T35</f>
        <v>#DIV/0!</v>
      </c>
      <c r="V36" s="320" t="s">
        <v>44</v>
      </c>
      <c r="W36" s="320"/>
      <c r="X36" s="192" t="e">
        <f>SUM(X28,X30,X31,X33)/X35</f>
        <v>#DIV/0!</v>
      </c>
      <c r="Y36" s="320" t="s">
        <v>44</v>
      </c>
      <c r="Z36" s="320"/>
      <c r="AA36" s="192" t="e">
        <f>SUM(AA28,AA30,AA31,AA33)/AA35</f>
        <v>#DIV/0!</v>
      </c>
      <c r="AB36" s="320" t="s">
        <v>44</v>
      </c>
      <c r="AC36" s="320"/>
      <c r="AD36" s="192" t="e">
        <f>SUM(AD28,AD30,AD31,AD33)/AD35</f>
        <v>#DIV/0!</v>
      </c>
    </row>
    <row r="37" spans="2:30" ht="15" customHeight="1" x14ac:dyDescent="0.25"/>
    <row r="38" spans="2:30" ht="15" customHeight="1" x14ac:dyDescent="0.25">
      <c r="B38" s="305" t="s">
        <v>77</v>
      </c>
      <c r="C38" s="306"/>
      <c r="D38" s="306"/>
      <c r="E38" s="306"/>
      <c r="F38" s="306"/>
      <c r="G38" s="306"/>
      <c r="H38" s="306"/>
      <c r="I38" s="306"/>
      <c r="J38" s="307"/>
      <c r="L38" s="316" t="s">
        <v>78</v>
      </c>
      <c r="M38" s="316"/>
      <c r="N38" s="316"/>
      <c r="O38" s="316"/>
      <c r="P38" s="316"/>
      <c r="Q38" s="316"/>
      <c r="R38" s="316"/>
      <c r="S38" s="316"/>
      <c r="T38" s="316"/>
      <c r="V38" s="316" t="s">
        <v>79</v>
      </c>
      <c r="W38" s="316"/>
      <c r="X38" s="316"/>
      <c r="Y38" s="316"/>
      <c r="Z38" s="316"/>
      <c r="AA38" s="316"/>
      <c r="AB38" s="316"/>
      <c r="AC38" s="316"/>
      <c r="AD38" s="316"/>
    </row>
    <row r="39" spans="2:30" ht="11.25" customHeight="1" x14ac:dyDescent="0.25">
      <c r="B39" s="308"/>
      <c r="C39" s="309"/>
      <c r="D39" s="309"/>
      <c r="E39" s="309"/>
      <c r="F39" s="309"/>
      <c r="G39" s="309"/>
      <c r="H39" s="309"/>
      <c r="I39" s="309"/>
      <c r="J39" s="310"/>
      <c r="L39" s="316"/>
      <c r="M39" s="316"/>
      <c r="N39" s="316"/>
      <c r="O39" s="316"/>
      <c r="P39" s="316"/>
      <c r="Q39" s="316"/>
      <c r="R39" s="316"/>
      <c r="S39" s="316"/>
      <c r="T39" s="316"/>
      <c r="V39" s="316"/>
      <c r="W39" s="316"/>
      <c r="X39" s="316"/>
      <c r="Y39" s="316"/>
      <c r="Z39" s="316"/>
      <c r="AA39" s="316"/>
      <c r="AB39" s="316"/>
      <c r="AC39" s="316"/>
      <c r="AD39" s="316"/>
    </row>
    <row r="40" spans="2:30" ht="15" customHeight="1" x14ac:dyDescent="0.25">
      <c r="B40" s="311" t="s">
        <v>62</v>
      </c>
      <c r="C40" s="54" t="s">
        <v>27</v>
      </c>
      <c r="D40" s="48">
        <f>COUNTIFS(JOURNAL!F:F,"10",JOURNAL!G:G,"1-10",JOURNAL!O:O,"TP")</f>
        <v>0</v>
      </c>
      <c r="E40" s="311" t="s">
        <v>63</v>
      </c>
      <c r="F40" s="54" t="s">
        <v>27</v>
      </c>
      <c r="G40" s="48">
        <f>COUNTIFS(JOURNAL!F:F,"10",JOURNAL!G:G,"11-20",JOURNAL!O:O,"TP")</f>
        <v>0</v>
      </c>
      <c r="H40" s="311" t="s">
        <v>64</v>
      </c>
      <c r="I40" s="54" t="s">
        <v>27</v>
      </c>
      <c r="J40" s="48">
        <f>COUNTIFS(JOURNAL!F:F,"10",JOURNAL!G:G,"21-31",JOURNAL!O:O,"TP")</f>
        <v>0</v>
      </c>
      <c r="L40" s="311" t="s">
        <v>62</v>
      </c>
      <c r="M40" s="54" t="s">
        <v>27</v>
      </c>
      <c r="N40" s="48">
        <f>COUNTIFS(JOURNAL!F:F,"11",JOURNAL!G:G,"1-10",JOURNAL!O:O,"TP")</f>
        <v>0</v>
      </c>
      <c r="O40" s="311" t="s">
        <v>63</v>
      </c>
      <c r="P40" s="54" t="s">
        <v>27</v>
      </c>
      <c r="Q40" s="48">
        <f>COUNTIFS(JOURNAL!F:F,"11",JOURNAL!G:G,"11-20",JOURNAL!O:O,"TP")</f>
        <v>0</v>
      </c>
      <c r="R40" s="311" t="s">
        <v>64</v>
      </c>
      <c r="S40" s="54" t="s">
        <v>27</v>
      </c>
      <c r="T40" s="48">
        <f>COUNTIFS(JOURNAL!F:F,"11",JOURNAL!G:G,"21-31",JOURNAL!O:O,"TP")</f>
        <v>0</v>
      </c>
      <c r="V40" s="311" t="s">
        <v>62</v>
      </c>
      <c r="W40" s="54" t="s">
        <v>27</v>
      </c>
      <c r="X40" s="48">
        <f>COUNTIFS(JOURNAL!F:F,"12",JOURNAL!G:G,"1-10",JOURNAL!O:O,"TP")</f>
        <v>0</v>
      </c>
      <c r="Y40" s="311" t="s">
        <v>63</v>
      </c>
      <c r="Z40" s="54" t="s">
        <v>27</v>
      </c>
      <c r="AA40" s="48">
        <f>COUNTIFS(JOURNAL!F:F,"12",JOURNAL!G:G,"11-20",JOURNAL!O:O,"TP")</f>
        <v>0</v>
      </c>
      <c r="AB40" s="311" t="s">
        <v>64</v>
      </c>
      <c r="AC40" s="54" t="s">
        <v>27</v>
      </c>
      <c r="AD40" s="48">
        <f>COUNTIFS(JOURNAL!F:F,"12",JOURNAL!G:G,"21-31",JOURNAL!O:O,"TP")</f>
        <v>0</v>
      </c>
    </row>
    <row r="41" spans="2:30" ht="15" customHeight="1" x14ac:dyDescent="0.25">
      <c r="B41" s="312"/>
      <c r="C41" s="55" t="s">
        <v>29</v>
      </c>
      <c r="D41" s="48">
        <f>COUNTIFS(JOURNAL!F:F,"10",JOURNAL!G:G,"1-10",JOURNAL!O:O,"SL")</f>
        <v>0</v>
      </c>
      <c r="E41" s="312"/>
      <c r="F41" s="55" t="s">
        <v>29</v>
      </c>
      <c r="G41" s="48">
        <f>COUNTIFS(JOURNAL!F:F,"10",JOURNAL!G:G,"11-20",JOURNAL!O:O,"SL")</f>
        <v>0</v>
      </c>
      <c r="H41" s="312"/>
      <c r="I41" s="55" t="s">
        <v>29</v>
      </c>
      <c r="J41" s="48">
        <f>COUNTIFS(JOURNAL!F:F,"10",JOURNAL!G:G,"21-31",JOURNAL!O:O,"SL")</f>
        <v>0</v>
      </c>
      <c r="L41" s="312"/>
      <c r="M41" s="55" t="s">
        <v>29</v>
      </c>
      <c r="N41" s="48">
        <f>COUNTIFS(JOURNAL!F:F,"11",JOURNAL!G:G,"1-10",JOURNAL!O:O,"SL")</f>
        <v>0</v>
      </c>
      <c r="O41" s="312"/>
      <c r="P41" s="55" t="s">
        <v>29</v>
      </c>
      <c r="Q41" s="48">
        <f>COUNTIFS(JOURNAL!F:F,"11",JOURNAL!G:G,"11-20",JOURNAL!O:O,"SL")</f>
        <v>0</v>
      </c>
      <c r="R41" s="312"/>
      <c r="S41" s="55" t="s">
        <v>29</v>
      </c>
      <c r="T41" s="48">
        <f>COUNTIFS(JOURNAL!F:F,"11",JOURNAL!G:G,"21-31",JOURNAL!O:O,"SL")</f>
        <v>0</v>
      </c>
      <c r="V41" s="312"/>
      <c r="W41" s="55" t="s">
        <v>29</v>
      </c>
      <c r="X41" s="48">
        <f>COUNTIFS(JOURNAL!F:F,"12",JOURNAL!G:G,"1-10",JOURNAL!O:O,"SL")</f>
        <v>0</v>
      </c>
      <c r="Y41" s="312"/>
      <c r="Z41" s="55" t="s">
        <v>29</v>
      </c>
      <c r="AA41" s="48">
        <f>COUNTIFS(JOURNAL!F:F,"12",JOURNAL!G:G,"11-20",JOURNAL!O:O,"SL")</f>
        <v>0</v>
      </c>
      <c r="AB41" s="312"/>
      <c r="AC41" s="55" t="s">
        <v>29</v>
      </c>
      <c r="AD41" s="48">
        <f>COUNTIFS(JOURNAL!F:F,"12",JOURNAL!G:G,"21-31",JOURNAL!O:O,"SL")</f>
        <v>0</v>
      </c>
    </row>
    <row r="42" spans="2:30" ht="15" customHeight="1" x14ac:dyDescent="0.25">
      <c r="B42" s="312"/>
      <c r="C42" s="56" t="s">
        <v>32</v>
      </c>
      <c r="D42" s="48">
        <f>COUNTIFS(JOURNAL!F:F,"10",JOURNAL!G:G,"1-10",JOURNAL!O:O,"RF")</f>
        <v>0</v>
      </c>
      <c r="E42" s="312"/>
      <c r="F42" s="56" t="s">
        <v>32</v>
      </c>
      <c r="G42" s="48">
        <f>COUNTIFS(JOURNAL!F:F,"10",JOURNAL!G:G,"11-20",JOURNAL!O:O,"RF")</f>
        <v>0</v>
      </c>
      <c r="H42" s="312"/>
      <c r="I42" s="56" t="s">
        <v>32</v>
      </c>
      <c r="J42" s="48">
        <f>COUNTIFS(JOURNAL!F:F,"10",JOURNAL!G:G,"21-31",JOURNAL!O:O,"RF")</f>
        <v>0</v>
      </c>
      <c r="L42" s="312"/>
      <c r="M42" s="56" t="s">
        <v>32</v>
      </c>
      <c r="N42" s="48">
        <f>COUNTIFS(JOURNAL!F:F,"11",JOURNAL!G:G,"1-10",JOURNAL!O:O,"RF")</f>
        <v>0</v>
      </c>
      <c r="O42" s="312"/>
      <c r="P42" s="56" t="s">
        <v>32</v>
      </c>
      <c r="Q42" s="48">
        <f>COUNTIFS(JOURNAL!F:F,"11",JOURNAL!G:G,"11-20",JOURNAL!O:O,"RF")</f>
        <v>0</v>
      </c>
      <c r="R42" s="312"/>
      <c r="S42" s="56" t="s">
        <v>32</v>
      </c>
      <c r="T42" s="48">
        <f>COUNTIFS(JOURNAL!F:F,"11",JOURNAL!G:G,"21-31",JOURNAL!O:O,"RF")</f>
        <v>0</v>
      </c>
      <c r="V42" s="312"/>
      <c r="W42" s="56" t="s">
        <v>32</v>
      </c>
      <c r="X42" s="48">
        <f>COUNTIFS(JOURNAL!F:F,"12",JOURNAL!G:G,"1-10",JOURNAL!O:O,"RF")</f>
        <v>0</v>
      </c>
      <c r="Y42" s="312"/>
      <c r="Z42" s="56" t="s">
        <v>32</v>
      </c>
      <c r="AA42" s="48">
        <f>COUNTIFS(JOURNAL!F:F,"12",JOURNAL!G:G,"11-20",JOURNAL!O:O,"RF")</f>
        <v>0</v>
      </c>
      <c r="AB42" s="312"/>
      <c r="AC42" s="56" t="s">
        <v>32</v>
      </c>
      <c r="AD42" s="48">
        <f>COUNTIFS(JOURNAL!F:F,"12",JOURNAL!G:G,"21-31",JOURNAL!O:O,"RF")</f>
        <v>0</v>
      </c>
    </row>
    <row r="43" spans="2:30" ht="15" customHeight="1" x14ac:dyDescent="0.25">
      <c r="B43" s="312"/>
      <c r="C43" s="57" t="s">
        <v>30</v>
      </c>
      <c r="D43" s="48">
        <f>COUNTIFS(JOURNAL!F:F,"10",JOURNAL!G:G,"1-10",JOURNAL!O:O,"PS")</f>
        <v>0</v>
      </c>
      <c r="E43" s="312"/>
      <c r="F43" s="57" t="s">
        <v>30</v>
      </c>
      <c r="G43" s="48">
        <f>COUNTIFS(JOURNAL!F:F,"10",JOURNAL!G:G,"11-20",JOURNAL!O:O,"PS")</f>
        <v>0</v>
      </c>
      <c r="H43" s="312"/>
      <c r="I43" s="57" t="s">
        <v>30</v>
      </c>
      <c r="J43" s="48">
        <f>COUNTIFS(JOURNAL!F:F,"10",JOURNAL!G:G,"21-31",JOURNAL!O:O,"PS")</f>
        <v>0</v>
      </c>
      <c r="L43" s="312"/>
      <c r="M43" s="57" t="s">
        <v>30</v>
      </c>
      <c r="N43" s="48">
        <f>COUNTIFS(JOURNAL!F:F,"11",JOURNAL!G:G,"1-10",JOURNAL!O:O,"PS")</f>
        <v>0</v>
      </c>
      <c r="O43" s="312"/>
      <c r="P43" s="57" t="s">
        <v>30</v>
      </c>
      <c r="Q43" s="48">
        <f>COUNTIFS(JOURNAL!F:F,"11",JOURNAL!G:G,"11-20",JOURNAL!O:O,"PS")</f>
        <v>0</v>
      </c>
      <c r="R43" s="312"/>
      <c r="S43" s="57" t="s">
        <v>30</v>
      </c>
      <c r="T43" s="48">
        <f>COUNTIFS(JOURNAL!F:F,"11",JOURNAL!G:G,"21-31",JOURNAL!O:O,"PS")</f>
        <v>0</v>
      </c>
      <c r="V43" s="312"/>
      <c r="W43" s="57" t="s">
        <v>30</v>
      </c>
      <c r="X43" s="48">
        <f>COUNTIFS(JOURNAL!F:F,"12",JOURNAL!G:G,"1-10",JOURNAL!O:O,"PS")</f>
        <v>0</v>
      </c>
      <c r="Y43" s="312"/>
      <c r="Z43" s="57" t="s">
        <v>30</v>
      </c>
      <c r="AA43" s="48">
        <f>COUNTIFS(JOURNAL!F:F,"12",JOURNAL!G:G,"11-20",JOURNAL!O:O,"PS")</f>
        <v>0</v>
      </c>
      <c r="AB43" s="312"/>
      <c r="AC43" s="57" t="s">
        <v>30</v>
      </c>
      <c r="AD43" s="48">
        <f>COUNTIFS(JOURNAL!F:F,"12",JOURNAL!G:G,"21-31",JOURNAL!O:O,"PS")</f>
        <v>0</v>
      </c>
    </row>
    <row r="44" spans="2:30" ht="15.75" x14ac:dyDescent="0.25">
      <c r="B44" s="312"/>
      <c r="C44" s="58" t="s">
        <v>31</v>
      </c>
      <c r="D44" s="48">
        <f>COUNTIFS(JOURNAL!F:F,"10",JOURNAL!G:G,"1-10",JOURNAL!O:O,"LS")</f>
        <v>0</v>
      </c>
      <c r="E44" s="312"/>
      <c r="F44" s="58" t="s">
        <v>31</v>
      </c>
      <c r="G44" s="48">
        <f>COUNTIFS(JOURNAL!F:F,"10",JOURNAL!G:G,"11-20",JOURNAL!O:O,"LS")</f>
        <v>0</v>
      </c>
      <c r="H44" s="312"/>
      <c r="I44" s="58" t="s">
        <v>31</v>
      </c>
      <c r="J44" s="48">
        <f>COUNTIFS(JOURNAL!F:F,"10",JOURNAL!G:G,"21-31",JOURNAL!O:O,"LS")</f>
        <v>0</v>
      </c>
      <c r="L44" s="312"/>
      <c r="M44" s="58" t="s">
        <v>31</v>
      </c>
      <c r="N44" s="48">
        <f>COUNTIFS(JOURNAL!F:F,"11",JOURNAL!G:G,"1-10",JOURNAL!O:O,"LS")</f>
        <v>0</v>
      </c>
      <c r="O44" s="312"/>
      <c r="P44" s="58" t="s">
        <v>31</v>
      </c>
      <c r="Q44" s="48">
        <f>COUNTIFS(JOURNAL!F:F,"11",JOURNAL!G:G,"11-20",JOURNAL!O:O,"LS")</f>
        <v>0</v>
      </c>
      <c r="R44" s="312"/>
      <c r="S44" s="58" t="s">
        <v>31</v>
      </c>
      <c r="T44" s="48">
        <f>COUNTIFS(JOURNAL!F:F,"11",JOURNAL!G:G,"21-31",JOURNAL!O:O,"LS")</f>
        <v>0</v>
      </c>
      <c r="V44" s="312"/>
      <c r="W44" s="58" t="s">
        <v>31</v>
      </c>
      <c r="X44" s="48">
        <f>COUNTIFS(JOURNAL!F:F,"12",JOURNAL!G:G,"1-10",JOURNAL!O:O,"LS")</f>
        <v>0</v>
      </c>
      <c r="Y44" s="312"/>
      <c r="Z44" s="58" t="s">
        <v>31</v>
      </c>
      <c r="AA44" s="48">
        <f>COUNTIFS(JOURNAL!F:F,"12",JOURNAL!G:G,"11-20",JOURNAL!O:O,"LS")</f>
        <v>0</v>
      </c>
      <c r="AB44" s="312"/>
      <c r="AC44" s="58" t="s">
        <v>31</v>
      </c>
      <c r="AD44" s="48">
        <f>COUNTIFS(JOURNAL!F:F,"12",JOURNAL!G:G,"21-31",JOURNAL!O:O,"LS")</f>
        <v>0</v>
      </c>
    </row>
    <row r="45" spans="2:30" ht="15.75" x14ac:dyDescent="0.25">
      <c r="B45" s="312"/>
      <c r="C45" s="59" t="s">
        <v>33</v>
      </c>
      <c r="D45" s="48">
        <f>COUNTIFS(JOURNAL!F:F,"10",JOURNAL!G:G,"1-10",JOURNAL!O:O,"OT +")</f>
        <v>0</v>
      </c>
      <c r="E45" s="312"/>
      <c r="F45" s="59" t="s">
        <v>33</v>
      </c>
      <c r="G45" s="48">
        <f>COUNTIFS(JOURNAL!F:F,"10",JOURNAL!G:G,"11-20",JOURNAL!O:O,"OT +")</f>
        <v>0</v>
      </c>
      <c r="H45" s="312"/>
      <c r="I45" s="59" t="s">
        <v>33</v>
      </c>
      <c r="J45" s="48">
        <f>COUNTIFS(JOURNAL!F:F,"10",JOURNAL!G:G,"21-31",JOURNAL!O:O,"OT +")</f>
        <v>0</v>
      </c>
      <c r="L45" s="312"/>
      <c r="M45" s="59" t="s">
        <v>33</v>
      </c>
      <c r="N45" s="48">
        <f>COUNTIFS(JOURNAL!F:F,"11",JOURNAL!G:G,"1-10",JOURNAL!O:O,"OT +")</f>
        <v>0</v>
      </c>
      <c r="O45" s="312"/>
      <c r="P45" s="59" t="s">
        <v>33</v>
      </c>
      <c r="Q45" s="48">
        <f>COUNTIFS(JOURNAL!F:F,"11",JOURNAL!G:G,"11-20",JOURNAL!O:O,"OT +")</f>
        <v>0</v>
      </c>
      <c r="R45" s="312"/>
      <c r="S45" s="59" t="s">
        <v>33</v>
      </c>
      <c r="T45" s="48">
        <f>COUNTIFS(JOURNAL!F:F,"11",JOURNAL!G:G,"21-31",JOURNAL!O:O,"OT +")</f>
        <v>0</v>
      </c>
      <c r="V45" s="312"/>
      <c r="W45" s="59" t="s">
        <v>33</v>
      </c>
      <c r="X45" s="48">
        <f>COUNTIFS(JOURNAL!F:F,"12",JOURNAL!G:G,"1-10",JOURNAL!O:O,"OT +")</f>
        <v>0</v>
      </c>
      <c r="Y45" s="312"/>
      <c r="Z45" s="59" t="s">
        <v>33</v>
      </c>
      <c r="AA45" s="48">
        <f>COUNTIFS(JOURNAL!F:F,"12",JOURNAL!G:G,"11-20",JOURNAL!O:O,"OT +")</f>
        <v>0</v>
      </c>
      <c r="AB45" s="312"/>
      <c r="AC45" s="59" t="s">
        <v>33</v>
      </c>
      <c r="AD45" s="48">
        <f>COUNTIFS(JOURNAL!F:F,"12",JOURNAL!G:G,"21-31",JOURNAL!O:O,"OT +")</f>
        <v>0</v>
      </c>
    </row>
    <row r="46" spans="2:30" ht="15.75" x14ac:dyDescent="0.25">
      <c r="B46" s="313"/>
      <c r="C46" s="60" t="s">
        <v>34</v>
      </c>
      <c r="D46" s="87">
        <f>COUNTIFS(JOURNAL!F:F,"10",JOURNAL!G:G,"1-10",JOURNAL!O:O,"OT -")</f>
        <v>0</v>
      </c>
      <c r="E46" s="313"/>
      <c r="F46" s="60" t="s">
        <v>34</v>
      </c>
      <c r="G46" s="48">
        <f>COUNTIFS(JOURNAL!F:F,"10",JOURNAL!G:G,"11-20",JOURNAL!O:O,"OT -")</f>
        <v>0</v>
      </c>
      <c r="H46" s="313"/>
      <c r="I46" s="60" t="s">
        <v>34</v>
      </c>
      <c r="J46" s="48">
        <f>COUNTIFS(JOURNAL!F:F,"10",JOURNAL!G:G,"21-31",JOURNAL!O:O,"OT -")</f>
        <v>0</v>
      </c>
      <c r="L46" s="313"/>
      <c r="M46" s="60" t="s">
        <v>34</v>
      </c>
      <c r="N46" s="87">
        <f>COUNTIFS(JOURNAL!F:F,"11",JOURNAL!G:G,"1-10",JOURNAL!O:O,"OT -")</f>
        <v>0</v>
      </c>
      <c r="O46" s="313"/>
      <c r="P46" s="60" t="s">
        <v>34</v>
      </c>
      <c r="Q46" s="48">
        <f>COUNTIFS(JOURNAL!F:F,"11",JOURNAL!G:G,"11-20",JOURNAL!O:O,"OT -")</f>
        <v>0</v>
      </c>
      <c r="R46" s="313"/>
      <c r="S46" s="60" t="s">
        <v>34</v>
      </c>
      <c r="T46" s="48">
        <f>COUNTIFS(JOURNAL!F:F,"11",JOURNAL!G:G,"21-31",JOURNAL!O:O,"OT -")</f>
        <v>0</v>
      </c>
      <c r="V46" s="313"/>
      <c r="W46" s="60" t="s">
        <v>34</v>
      </c>
      <c r="X46" s="87">
        <f>COUNTIFS(JOURNAL!F:F,"12",JOURNAL!G:G,"1-10",JOURNAL!O:O,"OT -")</f>
        <v>0</v>
      </c>
      <c r="Y46" s="313"/>
      <c r="Z46" s="60" t="s">
        <v>34</v>
      </c>
      <c r="AA46" s="48">
        <f>COUNTIFS(JOURNAL!F:F,"12",JOURNAL!G:G,"11-20",JOURNAL!O:O,"OT -")</f>
        <v>0</v>
      </c>
      <c r="AB46" s="313"/>
      <c r="AC46" s="60" t="s">
        <v>34</v>
      </c>
      <c r="AD46" s="48">
        <f>COUNTIFS(JOURNAL!F:F,"12",JOURNAL!G:G,"21-31",JOURNAL!O:O,"OT -")</f>
        <v>0</v>
      </c>
    </row>
    <row r="47" spans="2:30" ht="17.25" x14ac:dyDescent="0.25">
      <c r="B47" s="319" t="s">
        <v>43</v>
      </c>
      <c r="C47" s="321"/>
      <c r="D47" s="48">
        <f>SUM(D40:D46)</f>
        <v>0</v>
      </c>
      <c r="E47" s="319" t="s">
        <v>43</v>
      </c>
      <c r="F47" s="319"/>
      <c r="G47" s="48">
        <f>SUM(G40:G46)</f>
        <v>0</v>
      </c>
      <c r="H47" s="319" t="s">
        <v>43</v>
      </c>
      <c r="I47" s="319"/>
      <c r="J47" s="48">
        <f>SUM(J40:J46)</f>
        <v>0</v>
      </c>
      <c r="L47" s="319" t="s">
        <v>43</v>
      </c>
      <c r="M47" s="319"/>
      <c r="N47" s="48">
        <f>SUM(N40:N46)</f>
        <v>0</v>
      </c>
      <c r="O47" s="319" t="s">
        <v>43</v>
      </c>
      <c r="P47" s="319"/>
      <c r="Q47" s="48">
        <f>SUM(Q40:Q46)</f>
        <v>0</v>
      </c>
      <c r="R47" s="319" t="s">
        <v>43</v>
      </c>
      <c r="S47" s="319"/>
      <c r="T47" s="48">
        <f>SUM(T40:T46)</f>
        <v>0</v>
      </c>
      <c r="V47" s="319" t="s">
        <v>43</v>
      </c>
      <c r="W47" s="319"/>
      <c r="X47" s="48">
        <f>SUM(X40:X46)</f>
        <v>0</v>
      </c>
      <c r="Y47" s="319" t="s">
        <v>43</v>
      </c>
      <c r="Z47" s="319"/>
      <c r="AA47" s="48">
        <f>SUM(AA40:AA46)</f>
        <v>0</v>
      </c>
      <c r="AB47" s="319" t="s">
        <v>43</v>
      </c>
      <c r="AC47" s="319"/>
      <c r="AD47" s="48">
        <f>SUM(AD40:AD46)</f>
        <v>0</v>
      </c>
    </row>
    <row r="48" spans="2:30" ht="17.25" x14ac:dyDescent="0.25">
      <c r="B48" s="320" t="s">
        <v>44</v>
      </c>
      <c r="C48" s="322"/>
      <c r="D48" s="185" t="e">
        <f>SUM(D40,D42,D43,D45)/D47</f>
        <v>#DIV/0!</v>
      </c>
      <c r="E48" s="320" t="s">
        <v>44</v>
      </c>
      <c r="F48" s="320"/>
      <c r="G48" s="185" t="e">
        <f>SUM(G40,G42,G43,G45)/G47</f>
        <v>#DIV/0!</v>
      </c>
      <c r="H48" s="320" t="s">
        <v>44</v>
      </c>
      <c r="I48" s="320"/>
      <c r="J48" s="185" t="e">
        <f>SUM(J40,J42,J43,J45)/J47</f>
        <v>#DIV/0!</v>
      </c>
      <c r="L48" s="320" t="s">
        <v>44</v>
      </c>
      <c r="M48" s="320"/>
      <c r="N48" s="185" t="e">
        <f>SUM(N40,N42,N43,N45)/N47</f>
        <v>#DIV/0!</v>
      </c>
      <c r="O48" s="320" t="s">
        <v>44</v>
      </c>
      <c r="P48" s="320"/>
      <c r="Q48" s="185" t="e">
        <f>SUM(Q40,Q42,Q43,Q45)/Q47</f>
        <v>#DIV/0!</v>
      </c>
      <c r="R48" s="320" t="s">
        <v>44</v>
      </c>
      <c r="S48" s="320"/>
      <c r="T48" s="185" t="e">
        <f>SUM(T40,T42,T43,T45)/T47</f>
        <v>#DIV/0!</v>
      </c>
      <c r="V48" s="320" t="s">
        <v>44</v>
      </c>
      <c r="W48" s="320"/>
      <c r="X48" s="185" t="e">
        <f>SUM(X40,X42,X43,X45)/X47</f>
        <v>#DIV/0!</v>
      </c>
      <c r="Y48" s="320" t="s">
        <v>44</v>
      </c>
      <c r="Z48" s="320"/>
      <c r="AA48" s="185" t="e">
        <f>SUM(AA40,AA42,AA43,AA45)/AA47</f>
        <v>#DIV/0!</v>
      </c>
      <c r="AB48" s="320" t="s">
        <v>44</v>
      </c>
      <c r="AC48" s="320"/>
      <c r="AD48" s="185" t="e">
        <f>SUM(AD40,AD42,AD43,AD45)/AD47</f>
        <v>#DIV/0!</v>
      </c>
    </row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sheetProtection algorithmName="SHA-512" hashValue="YtbYCAhkvnK/Vhse/47hwcwqU7uGSK/0SGYk+355zJxGdrcYlmOdGeUDybpLtEqHDdAUAQS4/HkrH8SKerrhuA==" saltValue="vB3PW1TAB3fR8ueYwZUhjg==" spinCount="100000" sheet="1" objects="1" scenarios="1"/>
  <mergeCells count="192">
    <mergeCell ref="BE7:BF7"/>
    <mergeCell ref="BC8:BD8"/>
    <mergeCell ref="BE8:BF8"/>
    <mergeCell ref="AV17:AX17"/>
    <mergeCell ref="AS17:AU17"/>
    <mergeCell ref="BE2:BF2"/>
    <mergeCell ref="BC3:BD3"/>
    <mergeCell ref="BE3:BF3"/>
    <mergeCell ref="BC4:BD4"/>
    <mergeCell ref="BE4:BF4"/>
    <mergeCell ref="BC6:BD6"/>
    <mergeCell ref="BE6:BF6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BC2:BD2"/>
    <mergeCell ref="BC7:BD7"/>
    <mergeCell ref="AX7:AY7"/>
    <mergeCell ref="AZ7:BA7"/>
    <mergeCell ref="AX2:AY2"/>
    <mergeCell ref="AZ2:BA2"/>
    <mergeCell ref="AX3:AY3"/>
    <mergeCell ref="AZ3:BA3"/>
    <mergeCell ref="AX4:AY4"/>
    <mergeCell ref="AZ4:BA4"/>
    <mergeCell ref="AX5:AY5"/>
    <mergeCell ref="AZ5:BA5"/>
    <mergeCell ref="AX6:AY6"/>
    <mergeCell ref="AZ6:BA6"/>
    <mergeCell ref="AU15:AV15"/>
    <mergeCell ref="AU14:AV14"/>
    <mergeCell ref="AS14:AT14"/>
    <mergeCell ref="AS13:AT13"/>
    <mergeCell ref="AU13:AV13"/>
    <mergeCell ref="AS15:AT15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F2:AF15"/>
    <mergeCell ref="AF17:AF30"/>
    <mergeCell ref="AS2:AT2"/>
    <mergeCell ref="AU2:AV2"/>
    <mergeCell ref="AU3:AV3"/>
    <mergeCell ref="AS3:AT3"/>
    <mergeCell ref="AS5:AT5"/>
    <mergeCell ref="AU5:AV5"/>
    <mergeCell ref="AU4:AV4"/>
    <mergeCell ref="AS4:AT4"/>
    <mergeCell ref="AU12:AV12"/>
    <mergeCell ref="AS12:AT12"/>
    <mergeCell ref="AS11:AT11"/>
    <mergeCell ref="AU11:AV11"/>
    <mergeCell ref="AU10:AV10"/>
    <mergeCell ref="AS10:AT10"/>
    <mergeCell ref="AS9:AT9"/>
    <mergeCell ref="AU9:AV9"/>
    <mergeCell ref="AU8:AV8"/>
    <mergeCell ref="AS8:AT8"/>
    <mergeCell ref="AS7:AT7"/>
    <mergeCell ref="AU7:AV7"/>
    <mergeCell ref="AU6:AV6"/>
    <mergeCell ref="AS6:AT6"/>
    <mergeCell ref="AB36:AC36"/>
    <mergeCell ref="AB28:AB34"/>
    <mergeCell ref="V48:W48"/>
    <mergeCell ref="Y48:Z48"/>
    <mergeCell ref="AB48:AC48"/>
    <mergeCell ref="V40:V46"/>
    <mergeCell ref="Y40:Y46"/>
    <mergeCell ref="AB40:AB46"/>
    <mergeCell ref="V47:W47"/>
    <mergeCell ref="Y47:Z47"/>
    <mergeCell ref="AB47:AC47"/>
    <mergeCell ref="AB35:AC35"/>
    <mergeCell ref="L47:M47"/>
    <mergeCell ref="O47:P47"/>
    <mergeCell ref="R47:S47"/>
    <mergeCell ref="L48:M48"/>
    <mergeCell ref="O48:P48"/>
    <mergeCell ref="R48:S48"/>
    <mergeCell ref="L40:L46"/>
    <mergeCell ref="O40:O46"/>
    <mergeCell ref="R40:R46"/>
    <mergeCell ref="B47:C47"/>
    <mergeCell ref="E47:F47"/>
    <mergeCell ref="H47:I47"/>
    <mergeCell ref="B48:C48"/>
    <mergeCell ref="E48:F48"/>
    <mergeCell ref="H48:I48"/>
    <mergeCell ref="B40:B46"/>
    <mergeCell ref="E40:E46"/>
    <mergeCell ref="H40:H46"/>
    <mergeCell ref="B38:J39"/>
    <mergeCell ref="L38:T39"/>
    <mergeCell ref="V28:V34"/>
    <mergeCell ref="Y28:Y34"/>
    <mergeCell ref="V35:W35"/>
    <mergeCell ref="Y35:Z35"/>
    <mergeCell ref="L36:M36"/>
    <mergeCell ref="O36:P36"/>
    <mergeCell ref="R36:S36"/>
    <mergeCell ref="B35:C35"/>
    <mergeCell ref="E35:F35"/>
    <mergeCell ref="H35:I35"/>
    <mergeCell ref="B36:C36"/>
    <mergeCell ref="E36:F36"/>
    <mergeCell ref="H36:I36"/>
    <mergeCell ref="V38:AD39"/>
    <mergeCell ref="L35:M35"/>
    <mergeCell ref="O35:P35"/>
    <mergeCell ref="R35:S35"/>
    <mergeCell ref="L28:L34"/>
    <mergeCell ref="O28:O34"/>
    <mergeCell ref="R28:R34"/>
    <mergeCell ref="V36:W36"/>
    <mergeCell ref="Y36:Z36"/>
    <mergeCell ref="B28:B34"/>
    <mergeCell ref="E28:E34"/>
    <mergeCell ref="H28:H34"/>
    <mergeCell ref="B23:C23"/>
    <mergeCell ref="E23:F23"/>
    <mergeCell ref="H23:I23"/>
    <mergeCell ref="V24:W24"/>
    <mergeCell ref="Y24:Z24"/>
    <mergeCell ref="AB24:AC24"/>
    <mergeCell ref="B26:J27"/>
    <mergeCell ref="L26:T27"/>
    <mergeCell ref="L24:M24"/>
    <mergeCell ref="O24:P24"/>
    <mergeCell ref="R24:S24"/>
    <mergeCell ref="B24:C24"/>
    <mergeCell ref="E24:F24"/>
    <mergeCell ref="H24:I24"/>
    <mergeCell ref="V26:AD27"/>
    <mergeCell ref="Y16:Y22"/>
    <mergeCell ref="AB16:AB22"/>
    <mergeCell ref="V23:W23"/>
    <mergeCell ref="Y23:Z23"/>
    <mergeCell ref="AB23:AC23"/>
    <mergeCell ref="V14:AD15"/>
    <mergeCell ref="B16:B22"/>
    <mergeCell ref="E16:E22"/>
    <mergeCell ref="H16:H22"/>
    <mergeCell ref="L23:M23"/>
    <mergeCell ref="O23:P23"/>
    <mergeCell ref="R23:S23"/>
    <mergeCell ref="L16:L22"/>
    <mergeCell ref="O16:O22"/>
    <mergeCell ref="R16:R22"/>
    <mergeCell ref="V16:V22"/>
    <mergeCell ref="L14:T15"/>
    <mergeCell ref="B14:J15"/>
    <mergeCell ref="B11:C11"/>
    <mergeCell ref="B12:C12"/>
    <mergeCell ref="E12:F12"/>
    <mergeCell ref="E11:F11"/>
    <mergeCell ref="H12:I12"/>
    <mergeCell ref="H11:I11"/>
    <mergeCell ref="Y11:Z11"/>
    <mergeCell ref="AB11:AC11"/>
    <mergeCell ref="L12:M12"/>
    <mergeCell ref="O12:P12"/>
    <mergeCell ref="R12:S12"/>
    <mergeCell ref="L11:M11"/>
    <mergeCell ref="O11:P11"/>
    <mergeCell ref="R11:S11"/>
    <mergeCell ref="V12:W12"/>
    <mergeCell ref="Y12:Z12"/>
    <mergeCell ref="AB12:AC12"/>
    <mergeCell ref="V11:W11"/>
    <mergeCell ref="V2:AD3"/>
    <mergeCell ref="L2:T3"/>
    <mergeCell ref="B2:J3"/>
    <mergeCell ref="B4:B10"/>
    <mergeCell ref="E4:E10"/>
    <mergeCell ref="H4:H10"/>
    <mergeCell ref="V4:V10"/>
    <mergeCell ref="Y4:Y10"/>
    <mergeCell ref="AB4:AB10"/>
    <mergeCell ref="L4:L10"/>
    <mergeCell ref="O4:O10"/>
    <mergeCell ref="R4:R10"/>
  </mergeCells>
  <conditionalFormatting sqref="AP15:AQ1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Personal</vt:lpstr>
      <vt:lpstr>JOURNAL</vt:lpstr>
      <vt:lpstr>Doubting Setups</vt:lpstr>
      <vt:lpstr>Setup Analysis</vt:lpstr>
      <vt:lpstr>Close Reason Analysis</vt:lpstr>
      <vt:lpstr>Positon Analysis</vt:lpstr>
      <vt:lpstr>Day Analysis</vt:lpstr>
      <vt:lpstr>Level Analysis</vt:lpstr>
      <vt:lpstr>Correction Analysis</vt:lpstr>
      <vt:lpstr>Currency Pair Analysis</vt:lpstr>
      <vt:lpstr>Data</vt:lpstr>
      <vt:lpstr>Period Analysis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GIGA--SYSTEM</dc:creator>
  <cp:lastModifiedBy>GIGA--SYSTEM</cp:lastModifiedBy>
  <dcterms:created xsi:type="dcterms:W3CDTF">2023-09-12T15:03:24Z</dcterms:created>
  <dcterms:modified xsi:type="dcterms:W3CDTF">2023-10-28T16:13:11Z</dcterms:modified>
</cp:coreProperties>
</file>